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2202"/>
  <workbookPr autoCompressPictures="0"/>
  <bookViews>
    <workbookView xWindow="0" yWindow="600" windowWidth="25940" windowHeight="19340"/>
  </bookViews>
  <sheets>
    <sheet name="Kalpana One Cylinders" sheetId="1" r:id="rId1"/>
    <sheet name="Stanford Torus" sheetId="2"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61" i="1"/>
  <c r="C32" i="1"/>
  <c r="C62" i="1"/>
  <c r="A6" i="1"/>
  <c r="A10" i="1"/>
  <c r="C37" i="1"/>
  <c r="C24" i="2"/>
  <c r="C27" i="2"/>
  <c r="C28" i="2"/>
  <c r="A9" i="2"/>
  <c r="C32" i="2"/>
  <c r="J5" i="1"/>
  <c r="K2" i="1"/>
  <c r="K3" i="1"/>
  <c r="K4" i="1"/>
  <c r="J4" i="1"/>
  <c r="N70" i="1"/>
  <c r="N69" i="1"/>
  <c r="N68" i="1"/>
  <c r="N67" i="1"/>
  <c r="N66" i="1"/>
  <c r="N65" i="1"/>
  <c r="N64" i="1"/>
  <c r="N63" i="1"/>
  <c r="N62" i="1"/>
  <c r="N61" i="1"/>
  <c r="N46" i="1"/>
  <c r="A5" i="2"/>
  <c r="D18" i="2"/>
  <c r="A19" i="2"/>
  <c r="G24" i="2"/>
  <c r="F24" i="2"/>
  <c r="E25" i="1"/>
  <c r="A26" i="1"/>
  <c r="A22" i="1"/>
  <c r="A23" i="1"/>
  <c r="G27" i="2"/>
  <c r="G28" i="2"/>
  <c r="G47" i="2"/>
  <c r="G25" i="2"/>
  <c r="G43" i="2"/>
  <c r="O30" i="1"/>
  <c r="O31" i="1"/>
  <c r="O61" i="1"/>
  <c r="M31" i="1"/>
  <c r="M61" i="1"/>
  <c r="L31" i="1"/>
  <c r="L61" i="1"/>
  <c r="K31" i="1"/>
  <c r="K61" i="1"/>
  <c r="J31" i="1"/>
  <c r="J61" i="1"/>
  <c r="I31" i="1"/>
  <c r="I61" i="1"/>
  <c r="H31" i="1"/>
  <c r="H61" i="1"/>
  <c r="D31" i="1"/>
  <c r="D61" i="1"/>
  <c r="G36" i="2"/>
  <c r="G30" i="2"/>
  <c r="G41" i="2"/>
  <c r="G46" i="2"/>
  <c r="G32" i="2"/>
  <c r="G29" i="2"/>
  <c r="C47" i="2"/>
  <c r="F47" i="2"/>
  <c r="F27" i="2"/>
  <c r="F25" i="2"/>
  <c r="E24" i="2"/>
  <c r="D24" i="2"/>
  <c r="D27" i="2"/>
  <c r="B24" i="2"/>
  <c r="O56" i="1"/>
  <c r="O35" i="1"/>
  <c r="O58" i="1"/>
  <c r="O48" i="1"/>
  <c r="O49" i="1"/>
  <c r="O32" i="1"/>
  <c r="O62" i="1"/>
  <c r="M56" i="1"/>
  <c r="L56" i="1"/>
  <c r="K56" i="1"/>
  <c r="J56" i="1"/>
  <c r="I56" i="1"/>
  <c r="H56" i="1"/>
  <c r="D56" i="1"/>
  <c r="L48" i="1"/>
  <c r="L49" i="1"/>
  <c r="K48" i="1"/>
  <c r="K49" i="1"/>
  <c r="J48" i="1"/>
  <c r="J49" i="1"/>
  <c r="D48" i="1"/>
  <c r="D49" i="1"/>
  <c r="M48" i="1"/>
  <c r="M49" i="1"/>
  <c r="I48" i="1"/>
  <c r="I49" i="1"/>
  <c r="H48" i="1"/>
  <c r="H49" i="1"/>
  <c r="C48" i="1"/>
  <c r="C49" i="1"/>
  <c r="M35" i="1"/>
  <c r="M58" i="1"/>
  <c r="L35" i="1"/>
  <c r="L58" i="1"/>
  <c r="K35" i="1"/>
  <c r="K58" i="1"/>
  <c r="J35" i="1"/>
  <c r="J58" i="1"/>
  <c r="I35" i="1"/>
  <c r="I58" i="1"/>
  <c r="H35" i="1"/>
  <c r="H58" i="1"/>
  <c r="D35" i="1"/>
  <c r="D58" i="1"/>
  <c r="M32" i="1"/>
  <c r="M62" i="1"/>
  <c r="L32" i="1"/>
  <c r="L59" i="1"/>
  <c r="K32" i="1"/>
  <c r="J32" i="1"/>
  <c r="J62" i="1"/>
  <c r="I32" i="1"/>
  <c r="I34" i="1"/>
  <c r="H32" i="1"/>
  <c r="H34" i="1"/>
  <c r="E31" i="1"/>
  <c r="E32" i="1"/>
  <c r="E62" i="1"/>
  <c r="D32" i="1"/>
  <c r="D59" i="1"/>
  <c r="N60" i="1"/>
  <c r="N59" i="1"/>
  <c r="N58" i="1"/>
  <c r="N57" i="1"/>
  <c r="N56" i="1"/>
  <c r="N55" i="1"/>
  <c r="N54" i="1"/>
  <c r="N53" i="1"/>
  <c r="N52" i="1"/>
  <c r="N51" i="1"/>
  <c r="N50" i="1"/>
  <c r="N49" i="1"/>
  <c r="N48" i="1"/>
  <c r="N47" i="1"/>
  <c r="N45" i="1"/>
  <c r="N44" i="1"/>
  <c r="N43" i="1"/>
  <c r="N42" i="1"/>
  <c r="N41" i="1"/>
  <c r="N40" i="1"/>
  <c r="N39" i="1"/>
  <c r="N38" i="1"/>
  <c r="N37" i="1"/>
  <c r="N36" i="1"/>
  <c r="N35" i="1"/>
  <c r="N34" i="1"/>
  <c r="N33" i="1"/>
  <c r="N32" i="1"/>
  <c r="N31" i="1"/>
  <c r="G31" i="1"/>
  <c r="G61" i="1"/>
  <c r="F31" i="1"/>
  <c r="F61" i="1"/>
  <c r="E61" i="1"/>
  <c r="E37" i="1"/>
  <c r="B31" i="1"/>
  <c r="N30" i="1"/>
  <c r="D28" i="2"/>
  <c r="D43" i="2"/>
  <c r="D36" i="2"/>
  <c r="D25" i="2"/>
  <c r="D30" i="2"/>
  <c r="D34" i="2"/>
  <c r="D46" i="2"/>
  <c r="F30" i="2"/>
  <c r="F34" i="2"/>
  <c r="G31" i="2"/>
  <c r="G34" i="2"/>
  <c r="F43" i="2"/>
  <c r="F36" i="2"/>
  <c r="F46" i="2"/>
  <c r="F28" i="2"/>
  <c r="C25" i="2"/>
  <c r="C43" i="2"/>
  <c r="C36" i="2"/>
  <c r="G48" i="1"/>
  <c r="G49" i="1"/>
  <c r="G32" i="1"/>
  <c r="G56" i="1"/>
  <c r="G35" i="1"/>
  <c r="G58" i="1"/>
  <c r="F56" i="1"/>
  <c r="F35" i="1"/>
  <c r="F58" i="1"/>
  <c r="F32" i="1"/>
  <c r="F59" i="1"/>
  <c r="F48" i="1"/>
  <c r="F49" i="1"/>
  <c r="E56" i="1"/>
  <c r="E35" i="1"/>
  <c r="E58" i="1"/>
  <c r="E48" i="1"/>
  <c r="E49" i="1"/>
  <c r="C56" i="1"/>
  <c r="C35" i="1"/>
  <c r="C58" i="1"/>
  <c r="C33" i="1"/>
  <c r="C47" i="1"/>
  <c r="C63" i="1"/>
  <c r="B56" i="1"/>
  <c r="B35" i="1"/>
  <c r="B58" i="1"/>
  <c r="B61" i="1"/>
  <c r="J39" i="1"/>
  <c r="J33" i="1"/>
  <c r="J47" i="1"/>
  <c r="J63" i="1"/>
  <c r="C39" i="1"/>
  <c r="O39" i="1"/>
  <c r="O33" i="1"/>
  <c r="O47" i="1"/>
  <c r="O63" i="1"/>
  <c r="E39" i="1"/>
  <c r="E33" i="1"/>
  <c r="E47" i="1"/>
  <c r="E63" i="1"/>
  <c r="M39" i="1"/>
  <c r="M33" i="1"/>
  <c r="M47" i="1"/>
  <c r="M63" i="1"/>
  <c r="O37" i="1"/>
  <c r="M37" i="1"/>
  <c r="J37" i="1"/>
  <c r="F41" i="2"/>
  <c r="B32" i="1"/>
  <c r="B36" i="1"/>
  <c r="C41" i="2"/>
  <c r="B27" i="2"/>
  <c r="B46" i="2"/>
  <c r="B47" i="2"/>
  <c r="B25" i="2"/>
  <c r="E27" i="2"/>
  <c r="E43" i="2"/>
  <c r="E36" i="2"/>
  <c r="D47" i="2"/>
  <c r="E47" i="2"/>
  <c r="E25" i="2"/>
  <c r="M59" i="1"/>
  <c r="M42" i="1"/>
  <c r="E59" i="1"/>
  <c r="E42" i="1"/>
  <c r="M34" i="1"/>
  <c r="D62" i="1"/>
  <c r="L62" i="1"/>
  <c r="L37" i="1"/>
  <c r="H36" i="1"/>
  <c r="C36" i="1"/>
  <c r="K36" i="1"/>
  <c r="J36" i="1"/>
  <c r="O34" i="1"/>
  <c r="O59" i="1"/>
  <c r="O36" i="1"/>
  <c r="L42" i="1"/>
  <c r="F42" i="1"/>
  <c r="D42" i="1"/>
  <c r="J34" i="1"/>
  <c r="D36" i="1"/>
  <c r="L36" i="1"/>
  <c r="G59" i="1"/>
  <c r="F62" i="1"/>
  <c r="F37" i="1"/>
  <c r="C34" i="1"/>
  <c r="K34" i="1"/>
  <c r="E36" i="1"/>
  <c r="M36" i="1"/>
  <c r="H59" i="1"/>
  <c r="D34" i="1"/>
  <c r="L34" i="1"/>
  <c r="F36" i="1"/>
  <c r="I59" i="1"/>
  <c r="H62" i="1"/>
  <c r="G36" i="1"/>
  <c r="J59" i="1"/>
  <c r="I62" i="1"/>
  <c r="F34" i="1"/>
  <c r="C59" i="1"/>
  <c r="K59" i="1"/>
  <c r="I36" i="1"/>
  <c r="K62" i="1"/>
  <c r="K37" i="1"/>
  <c r="B48" i="1"/>
  <c r="B49" i="1"/>
  <c r="D32" i="2"/>
  <c r="D29" i="2"/>
  <c r="G45" i="2"/>
  <c r="G35" i="2"/>
  <c r="G44" i="2"/>
  <c r="F32" i="2"/>
  <c r="F29" i="2"/>
  <c r="E30" i="2"/>
  <c r="E34" i="2"/>
  <c r="E46" i="2"/>
  <c r="E28" i="2"/>
  <c r="C30" i="2"/>
  <c r="C34" i="2"/>
  <c r="C29" i="2"/>
  <c r="C46" i="2"/>
  <c r="G34" i="1"/>
  <c r="G62" i="1"/>
  <c r="G37" i="1"/>
  <c r="G38" i="1"/>
  <c r="G40" i="1"/>
  <c r="E34" i="1"/>
  <c r="C38" i="1"/>
  <c r="C40" i="1"/>
  <c r="C53" i="1"/>
  <c r="B28" i="2"/>
  <c r="B32" i="2"/>
  <c r="B43" i="2"/>
  <c r="B36" i="2"/>
  <c r="B59" i="1"/>
  <c r="B42" i="1"/>
  <c r="B30" i="2"/>
  <c r="B34" i="2"/>
  <c r="D39" i="1"/>
  <c r="D33" i="1"/>
  <c r="D47" i="1"/>
  <c r="D63" i="1"/>
  <c r="I39" i="1"/>
  <c r="I33" i="1"/>
  <c r="I47" i="1"/>
  <c r="I63" i="1"/>
  <c r="G39" i="1"/>
  <c r="G33" i="1"/>
  <c r="G47" i="1"/>
  <c r="G63" i="1"/>
  <c r="I37" i="1"/>
  <c r="I38" i="1"/>
  <c r="I40" i="1"/>
  <c r="D37" i="1"/>
  <c r="D38" i="1"/>
  <c r="D40" i="1"/>
  <c r="H39" i="1"/>
  <c r="H33" i="1"/>
  <c r="H47" i="1"/>
  <c r="H63" i="1"/>
  <c r="H37" i="1"/>
  <c r="K39" i="1"/>
  <c r="K33" i="1"/>
  <c r="K55" i="1"/>
  <c r="K47" i="1"/>
  <c r="K63" i="1"/>
  <c r="F39" i="1"/>
  <c r="F33" i="1"/>
  <c r="F47" i="1"/>
  <c r="F63" i="1"/>
  <c r="L39" i="1"/>
  <c r="L33" i="1"/>
  <c r="L47" i="1"/>
  <c r="L63" i="1"/>
  <c r="G33" i="2"/>
  <c r="G37" i="2"/>
  <c r="F31" i="2"/>
  <c r="D41" i="2"/>
  <c r="E41" i="2"/>
  <c r="M38" i="1"/>
  <c r="M40" i="1"/>
  <c r="M54" i="1"/>
  <c r="D31" i="2"/>
  <c r="F38" i="1"/>
  <c r="F40" i="1"/>
  <c r="F51" i="1"/>
  <c r="B34" i="1"/>
  <c r="B41" i="2"/>
  <c r="J50" i="1"/>
  <c r="E38" i="1"/>
  <c r="E40" i="1"/>
  <c r="E54" i="1"/>
  <c r="K38" i="1"/>
  <c r="K40" i="1"/>
  <c r="J55" i="1"/>
  <c r="J38" i="1"/>
  <c r="J40" i="1"/>
  <c r="J45" i="1"/>
  <c r="O60" i="1"/>
  <c r="O38" i="1"/>
  <c r="O40" i="1"/>
  <c r="O42" i="1"/>
  <c r="K41" i="1"/>
  <c r="K60" i="1"/>
  <c r="K42" i="1"/>
  <c r="C60" i="1"/>
  <c r="C42" i="1"/>
  <c r="G42" i="1"/>
  <c r="L38" i="1"/>
  <c r="L40" i="1"/>
  <c r="C57" i="1"/>
  <c r="J42" i="1"/>
  <c r="H42" i="1"/>
  <c r="I42" i="1"/>
  <c r="C41" i="1"/>
  <c r="B62" i="1"/>
  <c r="C31" i="2"/>
  <c r="G38" i="2"/>
  <c r="G50" i="2"/>
  <c r="G51" i="2"/>
  <c r="E32" i="2"/>
  <c r="E29" i="2"/>
  <c r="C44" i="2"/>
  <c r="B29" i="2"/>
  <c r="C50" i="1"/>
  <c r="C55" i="1"/>
  <c r="H50" i="1"/>
  <c r="D45" i="1"/>
  <c r="H60" i="1"/>
  <c r="H41" i="1"/>
  <c r="I60" i="1"/>
  <c r="H55" i="1"/>
  <c r="F44" i="2"/>
  <c r="F45" i="2"/>
  <c r="D45" i="2"/>
  <c r="D44" i="2"/>
  <c r="C33" i="2"/>
  <c r="C37" i="2"/>
  <c r="H38" i="1"/>
  <c r="H40" i="1"/>
  <c r="H53" i="1"/>
  <c r="K50" i="1"/>
  <c r="K45" i="1"/>
  <c r="G60" i="1"/>
  <c r="K57" i="1"/>
  <c r="B39" i="1"/>
  <c r="B33" i="1"/>
  <c r="B47" i="1"/>
  <c r="B63" i="1"/>
  <c r="B37" i="1"/>
  <c r="B38" i="1"/>
  <c r="B40" i="1"/>
  <c r="G48" i="2"/>
  <c r="G49" i="2"/>
  <c r="G40" i="2"/>
  <c r="G42" i="2"/>
  <c r="F35" i="2"/>
  <c r="E31" i="2"/>
  <c r="F54" i="1"/>
  <c r="M51" i="1"/>
  <c r="E53" i="1"/>
  <c r="H57" i="1"/>
  <c r="I57" i="1"/>
  <c r="C54" i="1"/>
  <c r="C51" i="1"/>
  <c r="C45" i="1"/>
  <c r="D35" i="2"/>
  <c r="J60" i="1"/>
  <c r="J57" i="1"/>
  <c r="E51" i="1"/>
  <c r="J41" i="1"/>
  <c r="J43" i="1"/>
  <c r="J67" i="1"/>
  <c r="C43" i="1"/>
  <c r="C44" i="1"/>
  <c r="K54" i="1"/>
  <c r="K53" i="1"/>
  <c r="K51" i="1"/>
  <c r="J53" i="1"/>
  <c r="J54" i="1"/>
  <c r="J51" i="1"/>
  <c r="O54" i="1"/>
  <c r="O53" i="1"/>
  <c r="O51" i="1"/>
  <c r="O45" i="1"/>
  <c r="O55" i="1"/>
  <c r="O50" i="1"/>
  <c r="O41" i="1"/>
  <c r="O43" i="1"/>
  <c r="O67" i="1"/>
  <c r="O57" i="1"/>
  <c r="F41" i="1"/>
  <c r="F43" i="1"/>
  <c r="F44" i="1"/>
  <c r="F60" i="1"/>
  <c r="G55" i="1"/>
  <c r="G45" i="1"/>
  <c r="G50" i="1"/>
  <c r="D55" i="1"/>
  <c r="D50" i="1"/>
  <c r="F55" i="1"/>
  <c r="F45" i="1"/>
  <c r="F50" i="1"/>
  <c r="M41" i="1"/>
  <c r="M43" i="1"/>
  <c r="M67" i="1"/>
  <c r="M57" i="1"/>
  <c r="M60" i="1"/>
  <c r="D51" i="1"/>
  <c r="D53" i="1"/>
  <c r="D54" i="1"/>
  <c r="K43" i="1"/>
  <c r="K67" i="1"/>
  <c r="L50" i="1"/>
  <c r="L45" i="1"/>
  <c r="L55" i="1"/>
  <c r="E41" i="1"/>
  <c r="E43" i="1"/>
  <c r="E44" i="1"/>
  <c r="E60" i="1"/>
  <c r="E57" i="1"/>
  <c r="L54" i="1"/>
  <c r="L51" i="1"/>
  <c r="L53" i="1"/>
  <c r="E50" i="1"/>
  <c r="E45" i="1"/>
  <c r="E55" i="1"/>
  <c r="F57" i="1"/>
  <c r="G53" i="1"/>
  <c r="G54" i="1"/>
  <c r="G51" i="1"/>
  <c r="L41" i="1"/>
  <c r="L43" i="1"/>
  <c r="L67" i="1"/>
  <c r="L57" i="1"/>
  <c r="L60" i="1"/>
  <c r="I54" i="1"/>
  <c r="I51" i="1"/>
  <c r="I53" i="1"/>
  <c r="I55" i="1"/>
  <c r="I50" i="1"/>
  <c r="I45" i="1"/>
  <c r="M55" i="1"/>
  <c r="M50" i="1"/>
  <c r="M45" i="1"/>
  <c r="D41" i="1"/>
  <c r="D43" i="1"/>
  <c r="D44" i="1"/>
  <c r="D57" i="1"/>
  <c r="D60" i="1"/>
  <c r="M53" i="1"/>
  <c r="G41" i="1"/>
  <c r="G43" i="1"/>
  <c r="G44" i="1"/>
  <c r="G57" i="1"/>
  <c r="I41" i="1"/>
  <c r="I43" i="1"/>
  <c r="I67" i="1"/>
  <c r="F53" i="1"/>
  <c r="G39" i="2"/>
  <c r="C45" i="2"/>
  <c r="C35" i="2"/>
  <c r="B41" i="1"/>
  <c r="B43" i="1"/>
  <c r="H51" i="1"/>
  <c r="H43" i="1"/>
  <c r="H67" i="1"/>
  <c r="H68" i="1"/>
  <c r="H54" i="1"/>
  <c r="H45" i="1"/>
  <c r="E44" i="2"/>
  <c r="E45" i="2"/>
  <c r="F33" i="2"/>
  <c r="F37" i="2"/>
  <c r="F38" i="2"/>
  <c r="F39" i="2"/>
  <c r="C38" i="2"/>
  <c r="D33" i="2"/>
  <c r="D37" i="2"/>
  <c r="D38" i="2"/>
  <c r="D39" i="2"/>
  <c r="G67" i="1"/>
  <c r="G68" i="1"/>
  <c r="F67" i="1"/>
  <c r="F68" i="1"/>
  <c r="C67" i="1"/>
  <c r="C68" i="1"/>
  <c r="D67" i="1"/>
  <c r="D68" i="1"/>
  <c r="E67" i="1"/>
  <c r="E68" i="1"/>
  <c r="G52" i="2"/>
  <c r="G53" i="2"/>
  <c r="O64" i="1"/>
  <c r="O68" i="1"/>
  <c r="O65" i="1"/>
  <c r="O66" i="1"/>
  <c r="I68" i="1"/>
  <c r="I65" i="1"/>
  <c r="I66" i="1"/>
  <c r="M64" i="1"/>
  <c r="M68" i="1"/>
  <c r="M65" i="1"/>
  <c r="M66" i="1"/>
  <c r="L65" i="1"/>
  <c r="L66" i="1"/>
  <c r="L68" i="1"/>
  <c r="K64" i="1"/>
  <c r="K65" i="1"/>
  <c r="K66" i="1"/>
  <c r="K68" i="1"/>
  <c r="J65" i="1"/>
  <c r="J66" i="1"/>
  <c r="J68" i="1"/>
  <c r="E35" i="2"/>
  <c r="B31" i="2"/>
  <c r="F65" i="1"/>
  <c r="F66" i="1"/>
  <c r="E65" i="1"/>
  <c r="E66" i="1"/>
  <c r="D65" i="1"/>
  <c r="D66" i="1"/>
  <c r="G65" i="1"/>
  <c r="G66" i="1"/>
  <c r="C65" i="1"/>
  <c r="C66" i="1"/>
  <c r="L64" i="1"/>
  <c r="J64" i="1"/>
  <c r="F64" i="1"/>
  <c r="G64" i="1"/>
  <c r="E64" i="1"/>
  <c r="I64" i="1"/>
  <c r="H64" i="1"/>
  <c r="C64" i="1"/>
  <c r="D64" i="1"/>
  <c r="C46" i="1"/>
  <c r="H46" i="1"/>
  <c r="C52" i="1"/>
  <c r="O46" i="1"/>
  <c r="O52" i="1"/>
  <c r="L46" i="1"/>
  <c r="L52" i="1"/>
  <c r="I52" i="1"/>
  <c r="I46" i="1"/>
  <c r="D46" i="1"/>
  <c r="D52" i="1"/>
  <c r="M46" i="1"/>
  <c r="M52" i="1"/>
  <c r="E46" i="1"/>
  <c r="E52" i="1"/>
  <c r="J52" i="1"/>
  <c r="J46" i="1"/>
  <c r="K52" i="1"/>
  <c r="K46" i="1"/>
  <c r="F52" i="1"/>
  <c r="F46" i="1"/>
  <c r="G52" i="1"/>
  <c r="G46" i="1"/>
  <c r="B60" i="1"/>
  <c r="B57" i="1"/>
  <c r="B45" i="1"/>
  <c r="B50" i="1"/>
  <c r="B55" i="1"/>
  <c r="B53" i="1"/>
  <c r="B51" i="1"/>
  <c r="B54" i="1"/>
  <c r="B67" i="1"/>
  <c r="B68" i="1"/>
  <c r="B44" i="1"/>
  <c r="C50" i="2"/>
  <c r="C51" i="2"/>
  <c r="C39" i="2"/>
  <c r="C40" i="2"/>
  <c r="C42" i="2"/>
  <c r="C48" i="2"/>
  <c r="C49" i="2"/>
  <c r="C52" i="2"/>
  <c r="C53" i="2"/>
  <c r="H52" i="1"/>
  <c r="H65" i="1"/>
  <c r="H66" i="1"/>
  <c r="H69" i="1"/>
  <c r="B45" i="2"/>
  <c r="B44" i="2"/>
  <c r="D50" i="2"/>
  <c r="D51" i="2"/>
  <c r="D42" i="2"/>
  <c r="D48" i="2"/>
  <c r="D49" i="2"/>
  <c r="D40" i="2"/>
  <c r="F50" i="2"/>
  <c r="F51" i="2"/>
  <c r="F40" i="2"/>
  <c r="F48" i="2"/>
  <c r="F49" i="2"/>
  <c r="F42" i="2"/>
  <c r="E33" i="2"/>
  <c r="E37" i="2"/>
  <c r="E38" i="2"/>
  <c r="E39" i="2"/>
  <c r="M69" i="1"/>
  <c r="M70" i="1"/>
  <c r="K69" i="1"/>
  <c r="K70" i="1"/>
  <c r="J69" i="1"/>
  <c r="J70" i="1"/>
  <c r="I69" i="1"/>
  <c r="I70" i="1"/>
  <c r="O69" i="1"/>
  <c r="O70" i="1"/>
  <c r="L69" i="1"/>
  <c r="L70" i="1"/>
  <c r="E69" i="1"/>
  <c r="E70" i="1"/>
  <c r="G69" i="1"/>
  <c r="G70" i="1"/>
  <c r="F69" i="1"/>
  <c r="F70" i="1"/>
  <c r="B65" i="1"/>
  <c r="B66" i="1"/>
  <c r="B35" i="2"/>
  <c r="C69" i="1"/>
  <c r="C70" i="1"/>
  <c r="D69" i="1"/>
  <c r="B64" i="1"/>
  <c r="O44" i="1"/>
  <c r="B46" i="1"/>
  <c r="B52" i="1"/>
  <c r="D52" i="2"/>
  <c r="D53" i="2"/>
  <c r="F52" i="2"/>
  <c r="F53" i="2"/>
  <c r="E50" i="2"/>
  <c r="E51" i="2"/>
  <c r="E48" i="2"/>
  <c r="E49" i="2"/>
  <c r="E42" i="2"/>
  <c r="E40" i="2"/>
  <c r="H70" i="1"/>
  <c r="D70" i="1"/>
  <c r="B69" i="1"/>
  <c r="B33" i="2"/>
  <c r="B37" i="2"/>
  <c r="E52" i="2"/>
  <c r="E53" i="2"/>
  <c r="B70" i="1"/>
  <c r="B38" i="2"/>
  <c r="B50" i="2"/>
  <c r="B51" i="2"/>
  <c r="B39" i="2"/>
  <c r="B48" i="2"/>
  <c r="B49" i="2"/>
  <c r="B42" i="2"/>
  <c r="B40" i="2"/>
  <c r="B52" i="2"/>
  <c r="B53" i="2"/>
</calcChain>
</file>

<file path=xl/comments1.xml><?xml version="1.0" encoding="utf-8"?>
<comments xmlns="http://schemas.openxmlformats.org/spreadsheetml/2006/main">
  <authors>
    <author>Stephen D. Covey</author>
  </authors>
  <commentList>
    <comment ref="A4" authorId="0">
      <text>
        <r>
          <rPr>
            <b/>
            <sz val="9"/>
            <color indexed="81"/>
            <rFont val="Tahoma"/>
            <family val="2"/>
          </rPr>
          <t>Stephen D. Covey:</t>
        </r>
        <r>
          <rPr>
            <sz val="9"/>
            <color indexed="81"/>
            <rFont val="Tahoma"/>
            <family val="2"/>
          </rPr>
          <t xml:space="preserve">
Ratio of width to radius
Note Kalpana One Revised used a value of 1.33.
This depends upon the rotational stability of the spinning cylinder, which depends upon the mass distribution. Al Globus thinks that to play it safe, a number such as 1.00 should be used.
In any event, we know that large ratios are unstable to perturbations; thus building long cylinders is not a good idea. 1.5 may work if most of the mass is along the rim.</t>
        </r>
      </text>
    </comment>
    <comment ref="A5" authorId="0">
      <text>
        <r>
          <rPr>
            <b/>
            <sz val="9"/>
            <color indexed="81"/>
            <rFont val="Tahoma"/>
            <family val="2"/>
          </rPr>
          <t>Stephen D. Covey:</t>
        </r>
        <r>
          <rPr>
            <sz val="9"/>
            <color indexed="81"/>
            <rFont val="Tahoma"/>
            <family val="2"/>
          </rPr>
          <t xml:space="preserve">
Shield Mass (tonnes/m^2):
10 for deep space rocky shield; 
6 per NASA study (minimum recommendation)
1 for deep space water shield (travel); 
.1 for LEO polyethylene shield; 
0 for equatorial LEO</t>
        </r>
      </text>
    </comment>
    <comment ref="A6" authorId="0">
      <text>
        <r>
          <rPr>
            <b/>
            <sz val="9"/>
            <color indexed="81"/>
            <rFont val="Tahoma"/>
            <family val="2"/>
          </rPr>
          <t>Stephen D. Covey:</t>
        </r>
        <r>
          <rPr>
            <sz val="9"/>
            <color indexed="81"/>
            <rFont val="Tahoma"/>
            <family val="2"/>
          </rPr>
          <t xml:space="preserve">
Shield Depth (m) extends outer dimensions</t>
        </r>
      </text>
    </comment>
    <comment ref="A7" authorId="0">
      <text>
        <r>
          <rPr>
            <b/>
            <sz val="9"/>
            <color indexed="81"/>
            <rFont val="Tahoma"/>
            <family val="2"/>
          </rPr>
          <t>Stephen D. Covey:</t>
        </r>
        <r>
          <rPr>
            <sz val="9"/>
            <color indexed="81"/>
            <rFont val="Tahoma"/>
            <family val="2"/>
          </rPr>
          <t xml:space="preserve">
structural strength of hull material in MPA. 
1200 works for titanium and maraging steels such as Ni10Co4. I want to use weldable materials; very-high-strength steel cables, for example, can't be repaired, only replaced.
Aluminum is 340
UHMWPE (a polyethylene such as Dyneema Max) is 2400</t>
        </r>
      </text>
    </comment>
    <comment ref="A8" authorId="0">
      <text>
        <r>
          <rPr>
            <b/>
            <sz val="9"/>
            <color indexed="81"/>
            <rFont val="Tahoma"/>
            <family val="2"/>
          </rPr>
          <t>Stephen D. Covey:</t>
        </r>
        <r>
          <rPr>
            <sz val="9"/>
            <color indexed="81"/>
            <rFont val="Tahoma"/>
            <family val="2"/>
          </rPr>
          <t xml:space="preserve">
Density of structural materials (tonnes per cubic meter). 
7.8 for steel (may be asteroid sourced), 
4.4-4.8 for titanium alloys, 
2.54 for LiAl (lithium-Aluminum alloy)
0.97 for Dyneema Max (UHMW polyethelene)</t>
        </r>
      </text>
    </comment>
    <comment ref="A9" authorId="0">
      <text>
        <r>
          <rPr>
            <b/>
            <sz val="9"/>
            <color indexed="81"/>
            <rFont val="Tahoma"/>
            <family val="2"/>
          </rPr>
          <t>Stephen D. Covey:</t>
        </r>
        <r>
          <rPr>
            <sz val="9"/>
            <color indexed="81"/>
            <rFont val="Tahoma"/>
            <family val="2"/>
          </rPr>
          <t xml:space="preserve">
For smallest structures.
Would YOU want to live in a spaceship with a hull barely 1mm thick?</t>
        </r>
      </text>
    </comment>
    <comment ref="A10" authorId="0">
      <text>
        <r>
          <rPr>
            <b/>
            <sz val="9"/>
            <color indexed="81"/>
            <rFont val="Tahoma"/>
            <family val="2"/>
          </rPr>
          <t>Stephen D. Covey:</t>
        </r>
        <r>
          <rPr>
            <sz val="9"/>
            <color indexed="81"/>
            <rFont val="Tahoma"/>
            <family val="2"/>
          </rPr>
          <t xml:space="preserve">
Design Wall stress (tonnes/m^2) as air pressure plus shield mass + structural mass plus non-structural mass + 50% safety margin</t>
        </r>
      </text>
    </comment>
    <comment ref="A11" authorId="0">
      <text>
        <r>
          <rPr>
            <b/>
            <sz val="9"/>
            <color indexed="81"/>
            <rFont val="Tahoma"/>
            <family val="2"/>
          </rPr>
          <t>Stephen D. Covey:</t>
        </r>
        <r>
          <rPr>
            <sz val="9"/>
            <color indexed="81"/>
            <rFont val="Tahoma"/>
            <family val="2"/>
          </rPr>
          <t xml:space="preserve">
Internal structures in tonnes/m^2 (5 is equivalent to building code live loads of 100 psf)
0 for no structures (live on outer shell)
0.05 (50 kg/m^2) is bare minimum for a 2 level facility, where the ceiling of the lower floor can be walked on (it's the floor of the upper level);
0.2 per level allows walls, floor/ceilings, etc. </t>
        </r>
      </text>
    </comment>
    <comment ref="A12" authorId="0">
      <text>
        <r>
          <rPr>
            <b/>
            <sz val="9"/>
            <color indexed="81"/>
            <rFont val="Tahoma"/>
            <family val="2"/>
          </rPr>
          <t>Stephen D. Covey:</t>
        </r>
        <r>
          <rPr>
            <sz val="9"/>
            <color indexed="81"/>
            <rFont val="Tahoma"/>
            <family val="2"/>
          </rPr>
          <t xml:space="preserve">
If endcaps are bare hull, only need a (negligible) mass for elevators, stairwells, paint, and conduits.
If there are rooms there, this becomes the room structures (floor, ceilings, contents) as a mass per square meter of hull endcap.
It is reasonable to allocate the same value as for the cylinder rim, as this allows structures out from the endcap that are equivalent depth of the rim structures in height. Ie, the same mass allowance over the entire hull, which works for Kalpana One Revised structures.</t>
        </r>
      </text>
    </comment>
    <comment ref="A13" authorId="0">
      <text>
        <r>
          <rPr>
            <b/>
            <sz val="9"/>
            <color indexed="81"/>
            <rFont val="Tahoma"/>
            <family val="2"/>
          </rPr>
          <t>Stephen D. Covey:</t>
        </r>
        <r>
          <rPr>
            <sz val="9"/>
            <color indexed="81"/>
            <rFont val="Tahoma"/>
            <family val="2"/>
          </rPr>
          <t xml:space="preserve">
non-structural mass (excluding air) in tonnes per resident 
NOMINAL 7 
=1.5 plants 
+ 1 H2O drinking&amp;hygene&amp;recycling 
+ 0.5 H2O recreation&amp;aesthetics 
+ 1 furniture&amp;fixtures 
+ 1 lighting&amp;equipment_includes_plumbing&amp;power&amp;cooling 
+ 0.5 paper&amp;plastics&amp;textiles 
+ 1.5 agriculture&amp;recycling
RICH 14 (double everything)
MINIMUM 3.5 (half everything)</t>
        </r>
      </text>
    </comment>
    <comment ref="A14" authorId="0">
      <text>
        <r>
          <rPr>
            <b/>
            <sz val="9"/>
            <color indexed="81"/>
            <rFont val="Tahoma"/>
            <family val="2"/>
          </rPr>
          <t>Stephen D. Covey:</t>
        </r>
        <r>
          <rPr>
            <sz val="9"/>
            <color indexed="81"/>
            <rFont val="Tahoma"/>
            <family val="2"/>
          </rPr>
          <t xml:space="preserve">
Area of shell surface per resident (19 is thermal rejection area at 0 C for 6 kw); used to compute maximum population and per-resident component of non-structural masses for shell loading. I note that 40 makes a reasonable design limit, and 80 allows the solar panels to occupy one end cap exactly. 300 leads to the population density used by Globus in Kalpana One Revised. 200 corresponds to the population density of the Stanford Torus (100 m^2/person for the cylinder rim area).
Note population density along cylinder rim may be different than along end caps - but for the maximum 20 or so for the thermal limit, they should be the same.</t>
        </r>
      </text>
    </comment>
    <comment ref="A15" authorId="0">
      <text>
        <r>
          <rPr>
            <b/>
            <sz val="9"/>
            <color indexed="81"/>
            <rFont val="Tahoma"/>
            <family val="2"/>
          </rPr>
          <t>Stephen D. Covey:</t>
        </r>
        <r>
          <rPr>
            <sz val="9"/>
            <color indexed="81"/>
            <rFont val="Tahoma"/>
            <family val="2"/>
          </rPr>
          <t xml:space="preserve">
Area of shell surface per resident (19 is thermal rejection area at 0 C for 6 kw); used to compute maximum population and per-resident component of non-structural masses for shell loading. I note that 40 makes a reasonable design limit, and 80 allows the solar panels to occupy one end cap exactly. 300 leads to the population density used by Globus in Kalpana One Revised. 200 corresponds to the population density of the Stanford Torus (100 m^2/person for the cylinder rim area).
Note population density along cylinder rim may be different than along end caps - but for the maximum 20 or so for the thermal limit, they should be the same.</t>
        </r>
      </text>
    </comment>
    <comment ref="A16" authorId="0">
      <text>
        <r>
          <rPr>
            <b/>
            <sz val="9"/>
            <color indexed="81"/>
            <rFont val="Tahoma"/>
            <family val="2"/>
          </rPr>
          <t>Stephen D. Covey:</t>
        </r>
        <r>
          <rPr>
            <sz val="9"/>
            <color indexed="81"/>
            <rFont val="Tahoma"/>
            <family val="2"/>
          </rPr>
          <t xml:space="preserve">
level (floor) height in meters</t>
        </r>
      </text>
    </comment>
    <comment ref="A17" authorId="0">
      <text>
        <r>
          <rPr>
            <b/>
            <sz val="9"/>
            <color indexed="81"/>
            <rFont val="Tahoma"/>
            <family val="2"/>
          </rPr>
          <t>Stephen D. Covey:</t>
        </r>
        <r>
          <rPr>
            <sz val="9"/>
            <color indexed="81"/>
            <rFont val="Tahoma"/>
            <family val="2"/>
          </rPr>
          <t xml:space="preserve">
Efficiency of solar cells</t>
        </r>
      </text>
    </comment>
    <comment ref="A18" authorId="0">
      <text>
        <r>
          <rPr>
            <b/>
            <sz val="9"/>
            <color indexed="81"/>
            <rFont val="Tahoma"/>
            <family val="2"/>
          </rPr>
          <t>Stephen D. Covey:</t>
        </r>
        <r>
          <rPr>
            <sz val="9"/>
            <color indexed="81"/>
            <rFont val="Tahoma"/>
            <family val="2"/>
          </rPr>
          <t xml:space="preserve">
6 kw is the minimum per person power allotment, based on 3.5 kw for agriculture, 2 kw for personal and office/work space, and 0.5 kw for common area lighting, blowers, and the like. These numbers work for a 24 hour average, implying that there are no low power &amp; high power periods, such as night time. I'm assuming agricultural areas are used to balance the energy consumption. 3.5 kw for agriculture is valid for LED lighting using mostly PAR (photosynthetically active radiation) and allowing 64 m^2/person, double the area suggested by Heppenheimer, and thus provides an allowance for eggs, milk, meat, and fish, not to mention crop failures, but still requires a primarily vegetarian diet.</t>
        </r>
      </text>
    </comment>
    <comment ref="A19" authorId="0">
      <text>
        <r>
          <rPr>
            <b/>
            <sz val="9"/>
            <color indexed="81"/>
            <rFont val="Tahoma"/>
            <family val="2"/>
          </rPr>
          <t>Stephen D. Covey:</t>
        </r>
        <r>
          <rPr>
            <sz val="9"/>
            <color indexed="81"/>
            <rFont val="Tahoma"/>
            <family val="2"/>
          </rPr>
          <t xml:space="preserve">
50% bare minimum.
Overbuilding is cheap for tiny habitats. Not a factor for self-stress limits of hull material (but you could artificially weaken the material for an equivalent result).</t>
        </r>
      </text>
    </comment>
    <comment ref="A20" authorId="0">
      <text>
        <r>
          <rPr>
            <b/>
            <sz val="9"/>
            <color indexed="81"/>
            <rFont val="Tahoma"/>
            <family val="2"/>
          </rPr>
          <t>Stephen D. Covey:</t>
        </r>
        <r>
          <rPr>
            <sz val="9"/>
            <color indexed="81"/>
            <rFont val="Tahoma"/>
            <family val="2"/>
          </rPr>
          <t xml:space="preserve">
this is the angle in degrees of the maximum shadow extent (cross section for drag computations)
</t>
        </r>
      </text>
    </comment>
    <comment ref="A21" authorId="0">
      <text>
        <r>
          <rPr>
            <b/>
            <sz val="9"/>
            <color indexed="81"/>
            <rFont val="Tahoma"/>
            <family val="2"/>
          </rPr>
          <t>Stephen D. Covey:</t>
        </r>
        <r>
          <rPr>
            <sz val="9"/>
            <color indexed="81"/>
            <rFont val="Tahoma"/>
            <family val="2"/>
          </rPr>
          <t xml:space="preserve">
Think apartment size.
This is the area (per person) of the private living quarters, exclusive of common areas, work areas, agriculture, and overhead.
4 square meters is minimum for temporary workers (shared bath and kitchen facilities)
10 is a cruise ship accomodation
20 is an extended stay hotel allowance
30 allows a nice apartment, similar to many in high density communities
40 is an average single-family residence in the USA today (much larger than global average)
60 is a modern, large, suburban home </t>
        </r>
      </text>
    </comment>
    <comment ref="A22" authorId="0">
      <text>
        <r>
          <rPr>
            <b/>
            <sz val="9"/>
            <color indexed="81"/>
            <rFont val="Tahoma"/>
            <family val="2"/>
          </rPr>
          <t>Stephen D. Covey:</t>
        </r>
        <r>
          <rPr>
            <sz val="9"/>
            <color indexed="81"/>
            <rFont val="Tahoma"/>
            <family val="2"/>
          </rPr>
          <t xml:space="preserve">
Computed as agricultural square meters divided by 3 (allowing for multiple plant shelves), plus workspace, schools, medical allowances, all with a 20% margin for hallways, storage, and overhead, plus the equivalent allowance needed for residential hallways, etc.
Agriculture allowance is double Heppenheimer to allow for some non-vegatarian foods including fish, eggs, and dairy; must be doubled again (at a minimum) for beef, doubled again for a typical USA meat-intensive diet.
For the rural open fields and meadows depicted in many space settlement artworks, a minimum of 1,000 is needed.</t>
        </r>
      </text>
    </comment>
    <comment ref="A23" authorId="0">
      <text>
        <r>
          <rPr>
            <b/>
            <sz val="9"/>
            <color indexed="81"/>
            <rFont val="Tahoma"/>
            <family val="2"/>
          </rPr>
          <t>Stephen D. Covey:</t>
        </r>
        <r>
          <rPr>
            <sz val="9"/>
            <color indexed="81"/>
            <rFont val="Tahoma"/>
            <family val="2"/>
          </rPr>
          <t xml:space="preserve">
Think "number of celings"
This is computed as the number of levels needed to provide the total living and working space given the projected space allowance.</t>
        </r>
      </text>
    </comment>
    <comment ref="A24" authorId="0">
      <text>
        <r>
          <rPr>
            <b/>
            <sz val="9"/>
            <color indexed="81"/>
            <rFont val="Tahoma"/>
            <family val="2"/>
          </rPr>
          <t>Stephen D. Covey:</t>
        </r>
        <r>
          <rPr>
            <sz val="9"/>
            <color indexed="81"/>
            <rFont val="Tahoma"/>
            <family val="2"/>
          </rPr>
          <t xml:space="preserve">
For Earth launch, a Falcon Heavy provides perhaps 45 tonnes to a 500 km altitude orbit (perhaps less for equatorial, unless another launch pad is constructed), but only 15 tonnes to deep space destinations.
An SLS or future BFR might provide 150-500 tonnes to LEO
For asteroid-derived resources, a number in the 500 - 5,000 range may be reasonable</t>
        </r>
      </text>
    </comment>
    <comment ref="A25" authorId="0">
      <text>
        <r>
          <rPr>
            <b/>
            <sz val="9"/>
            <color indexed="81"/>
            <rFont val="Tahoma"/>
            <family val="2"/>
          </rPr>
          <t>Stephen D. Covey:</t>
        </r>
        <r>
          <rPr>
            <sz val="9"/>
            <color indexed="81"/>
            <rFont val="Tahoma"/>
            <family val="2"/>
          </rPr>
          <t xml:space="preserve">
An initial estimate of cost per launch / delivery
In a world of dropping launch costs, this is hard to pin down, as it depends upon when you get started, and how long the construction phase lasts. And on the price reductions gained via competition given the number of launches needed.
A Falcon Heavy may be $90M soon, perhaps half that for near-term reusable versions (2020?).
A future fully reusable spacecraft (MCT?) would likely have half of that in cost per kilogram, but with more kilograms per launch (2025?).
Volume discounts available, and it may make sense to buy the fleet and operate it at cost, which might be 1/10th (2030?) to 1/100th (2050?) of today's cost per kilogram.
For asteroid-sourced materials, you definitely buy the fleet, and operate it for the cost of maintenance and amortization over the average lifetime of the equipment (but this will increase the materials cost - it's not just the cost of ore delivery).</t>
        </r>
      </text>
    </comment>
    <comment ref="A26" authorId="0">
      <text>
        <r>
          <rPr>
            <b/>
            <sz val="9"/>
            <color indexed="81"/>
            <rFont val="Tahoma"/>
            <family val="2"/>
          </rPr>
          <t>Stephen D. Covey:</t>
        </r>
        <r>
          <rPr>
            <sz val="9"/>
            <color indexed="81"/>
            <rFont val="Tahoma"/>
            <family val="2"/>
          </rPr>
          <t xml:space="preserve">
Tricky.
For Earth launch, you might want to put as much into engineering and materials as it costs to launch it. This, of course, applies to high-tech items, not to dumb mass such as water.
But what's the average?
Note that for asteroid-sourced materials, this becomes the cost of converting the ores into useful products such as steel sheets, plates, girders, rods, cables, nuts, bolts, .... And plastic containers, electrical wires (with insulation), composites, solar cells, ...., and is largely the amortized cost of the factory plus operational cost.</t>
        </r>
      </text>
    </comment>
    <comment ref="A27" authorId="0">
      <text>
        <r>
          <rPr>
            <b/>
            <sz val="9"/>
            <color indexed="81"/>
            <rFont val="Tahoma"/>
            <family val="2"/>
          </rPr>
          <t>Stephen D. Covey:</t>
        </r>
        <r>
          <rPr>
            <sz val="9"/>
            <color indexed="81"/>
            <rFont val="Tahoma"/>
            <family val="2"/>
          </rPr>
          <t xml:space="preserve">
Another tricky one, crudely estimated at 100% of the materials cost.
This is the cost of design &amp; engineering, plus assembly/deployment, plus management, overhead, profit to repay the investors, and "legal" expenses (note how nice I am to not call this "lobbying" or "political contributions" or "funds to stuff the pockets of those who would otherwise stand in your way of accomplishing anything").
Yes, this includes "non-recurring engineering costs" so #2 is cheaper even not including volume discounts.
</t>
        </r>
      </text>
    </comment>
    <comment ref="A41" authorId="0">
      <text>
        <r>
          <rPr>
            <b/>
            <sz val="9"/>
            <color indexed="81"/>
            <rFont val="Tahoma"/>
            <family val="2"/>
          </rPr>
          <t>Stephen D. Covey:</t>
        </r>
        <r>
          <rPr>
            <sz val="9"/>
            <color indexed="81"/>
            <rFont val="Tahoma"/>
            <family val="2"/>
          </rPr>
          <t xml:space="preserve">
Life support (especially agriculture), plus furniture, fixtures, internal and external equipment including solar arrays</t>
        </r>
      </text>
    </comment>
  </commentList>
</comments>
</file>

<file path=xl/comments2.xml><?xml version="1.0" encoding="utf-8"?>
<comments xmlns="http://schemas.openxmlformats.org/spreadsheetml/2006/main">
  <authors>
    <author>Stephen D. Covey</author>
  </authors>
  <commentList>
    <comment ref="A7" authorId="0">
      <text>
        <r>
          <rPr>
            <b/>
            <sz val="9"/>
            <color indexed="81"/>
            <rFont val="Tahoma"/>
            <family val="2"/>
          </rPr>
          <t>Stephen D. Covey:</t>
        </r>
        <r>
          <rPr>
            <sz val="9"/>
            <color indexed="81"/>
            <rFont val="Tahoma"/>
            <family val="2"/>
          </rPr>
          <t xml:space="preserve">
Strength of structural hull material in MPA
Maraging steel 1200
Titanium 1200
Aluminum 340
aramid fiber 2400
UHMWPE (such as Dyneema DM20 an ultra-low-creep UHMwPE fiber)
 </t>
        </r>
      </text>
    </comment>
    <comment ref="A8" authorId="0">
      <text>
        <r>
          <rPr>
            <b/>
            <sz val="9"/>
            <color indexed="81"/>
            <rFont val="Tahoma"/>
            <family val="2"/>
          </rPr>
          <t>Stephen D. Covey:</t>
        </r>
        <r>
          <rPr>
            <sz val="9"/>
            <color indexed="81"/>
            <rFont val="Tahoma"/>
            <family val="2"/>
          </rPr>
          <t xml:space="preserve">
Density of hull material in tonnes/m^3
Maraging steel 7.8
Titanium 4.5
Aluminum 2.8
aramid fiber 1.3
UHMWPE (such as Dyneema DM20 an ultra-low-creep UHMwPE fiber) 0.97
</t>
        </r>
      </text>
    </comment>
    <comment ref="A32" authorId="0">
      <text>
        <r>
          <rPr>
            <b/>
            <sz val="9"/>
            <color indexed="81"/>
            <rFont val="Tahoma"/>
            <family val="2"/>
          </rPr>
          <t>Stephen D. Covey:</t>
        </r>
        <r>
          <rPr>
            <sz val="9"/>
            <color indexed="81"/>
            <rFont val="Tahoma"/>
            <family val="2"/>
          </rPr>
          <t xml:space="preserve">
shell mass = 2*pi*D*R^3*(Cr+1)(Pal)/(Aw-D*G*R)
This is the formula for a cylinder, not a torus.
I modified it as a guess, with a multiplier of 1.5 from the engineering guidelines for pressure vessels (infinitely long cylinder), and using the large diameter instead of the radius. Basically, it becomes 1.5 times the formula for an arbitary container (volume*pressure*density/strength) with the self-gravitation factor thrown in.</t>
        </r>
      </text>
    </comment>
  </commentList>
</comments>
</file>

<file path=xl/sharedStrings.xml><?xml version="1.0" encoding="utf-8"?>
<sst xmlns="http://schemas.openxmlformats.org/spreadsheetml/2006/main" count="139" uniqueCount="131">
  <si>
    <t>SPACE SETTLEMENTS THE EASY WAY</t>
  </si>
  <si>
    <t>Kalpana One-style habitats</t>
  </si>
  <si>
    <t>Kalpana 1</t>
  </si>
  <si>
    <t>Kalpana 2</t>
  </si>
  <si>
    <t>Kalpana 3</t>
  </si>
  <si>
    <t>Kalpana 4</t>
  </si>
  <si>
    <t>Kalpana 5</t>
  </si>
  <si>
    <t>Kalpana 6</t>
  </si>
  <si>
    <t>Kalpana 7</t>
  </si>
  <si>
    <t>Kalpana 8</t>
  </si>
  <si>
    <t>Kalpana 9 = RAMA</t>
  </si>
  <si>
    <t>Maximum Habitat using weldable steel</t>
  </si>
  <si>
    <t>custom</t>
  </si>
  <si>
    <t>factor for 6rpm</t>
  </si>
  <si>
    <t>factor for 4 rpm</t>
  </si>
  <si>
    <t>factor for 2 rpm</t>
  </si>
  <si>
    <t>RPM</t>
  </si>
  <si>
    <t>factors of 3 in diameter</t>
  </si>
  <si>
    <t>Design Population</t>
  </si>
  <si>
    <t>Ceiling</t>
  </si>
  <si>
    <t>Shell area</t>
  </si>
  <si>
    <t>Shell (kT or kiloTons)</t>
  </si>
  <si>
    <t>Internal Structures (kT)</t>
  </si>
  <si>
    <t>Shield (kT)</t>
  </si>
  <si>
    <t>Total Mass (kT)</t>
  </si>
  <si>
    <t>Reduction Factor</t>
  </si>
  <si>
    <t>Total mass per person (tonnes)</t>
  </si>
  <si>
    <t>tangential velocity (meters per second)</t>
  </si>
  <si>
    <t>mph</t>
  </si>
  <si>
    <t>steel production tons per day years</t>
  </si>
  <si>
    <t>kt Ore Mass (to produce required mass of shield as product after extracting volatiles and steel)</t>
  </si>
  <si>
    <t>Ore tons per day years to use only slag as shield (resulting in excess steel production)</t>
  </si>
  <si>
    <t>Excess Steel (as steel resulting from production of slag shield, counted as 5 GW SPSs at 25 kt each)</t>
  </si>
  <si>
    <t>Levels (work/live/play)</t>
  </si>
  <si>
    <t>volume per person (m^3, min 64 food, 30 living, 10 work, 10 common/rec, 120 total)</t>
  </si>
  <si>
    <t>Shield mass (tonnes/m^2)</t>
  </si>
  <si>
    <t>Shield depth in meters (density dependent)</t>
  </si>
  <si>
    <t>Hull structural strength in MPA</t>
  </si>
  <si>
    <t>Structural materials density (tonnes/m^3)</t>
  </si>
  <si>
    <t>Non-structural mass in tonnes/resident</t>
  </si>
  <si>
    <t>room (level) height meters</t>
  </si>
  <si>
    <t>Solar cell efficiency</t>
  </si>
  <si>
    <t>Stanford Torus</t>
  </si>
  <si>
    <t>Aspect Ratio</t>
  </si>
  <si>
    <t>Shield Mass kT</t>
  </si>
  <si>
    <t>Population</t>
  </si>
  <si>
    <t>Shell Mass kT</t>
  </si>
  <si>
    <t>Internal Structures kT</t>
  </si>
  <si>
    <t>Non-structural mass kT</t>
  </si>
  <si>
    <t>Air mass kT</t>
  </si>
  <si>
    <t>Spokes &amp; Hub kT</t>
  </si>
  <si>
    <t>TOTAL MASS kT</t>
  </si>
  <si>
    <t>Reduction factor</t>
  </si>
  <si>
    <t>shield mass tonnes/m^2</t>
  </si>
  <si>
    <t>shield thickness (meters) depends on shield density</t>
  </si>
  <si>
    <t>Shell &amp; Structural materials strength (MPA)</t>
  </si>
  <si>
    <t>Shell &amp; structural materials density (tonnes/m^3)</t>
  </si>
  <si>
    <t>Design stress for shell (tonnes/m^2)</t>
  </si>
  <si>
    <t>Non-structural mass as tonnes/resident</t>
  </si>
  <si>
    <t>Design Structural Strength Margin</t>
  </si>
  <si>
    <t>Endcap area per resident (m^2) (population density) - additional population</t>
  </si>
  <si>
    <t>Cylinder area per resident (m^2) (population density) - they don't all have to live along the rim!</t>
  </si>
  <si>
    <t>Drag Mass/m^2 (tonnes)</t>
  </si>
  <si>
    <t>Angle of Maximum Cross Section for drag computations</t>
  </si>
  <si>
    <t>Volume m^3</t>
  </si>
  <si>
    <t>Required power kw/person</t>
  </si>
  <si>
    <t>Design hull stress (tonnes/m^2) 1 atmosphere of air is 10</t>
  </si>
  <si>
    <t>Radius m</t>
  </si>
  <si>
    <t>Width m</t>
  </si>
  <si>
    <t xml:space="preserve">Central Park </t>
  </si>
  <si>
    <t>End cap area m^2</t>
  </si>
  <si>
    <t>Cylinder area m^2</t>
  </si>
  <si>
    <t>Drag cross section m^2</t>
  </si>
  <si>
    <t>Park Circumference m</t>
  </si>
  <si>
    <t>Area per person m^2</t>
  </si>
  <si>
    <t>hab steel per person tonnes</t>
  </si>
  <si>
    <t>Min asteroid diameter m</t>
  </si>
  <si>
    <t>SPS radius m</t>
  </si>
  <si>
    <t>min.asteroid (m diameter)]</t>
  </si>
  <si>
    <t>floors (plus central park; not including endcap structures)</t>
  </si>
  <si>
    <t>Per-person agricultural, equipment, work, commons (excluding central park), and overhead (ductworks, stairwells, storage, hallways)</t>
  </si>
  <si>
    <t>Required Launches</t>
  </si>
  <si>
    <t>Internal rim structures mass (tonnes/m^2 of cylinder rim)</t>
  </si>
  <si>
    <t>Internal endcap structures mass (tonnes/m^2 of cylinder end caps)</t>
  </si>
  <si>
    <t>minimum hull thickness (m) for psychological comfort</t>
  </si>
  <si>
    <t>hull thickness (m)</t>
  </si>
  <si>
    <t>mass per launch vehicle (tonnes), average useful payload (reduced by fill factor, packaging)</t>
  </si>
  <si>
    <t>Engineering, Deployment, Management, and Overhead costs as % of material cost</t>
  </si>
  <si>
    <t>Shell design living area (m^2/resident of projected area)</t>
  </si>
  <si>
    <t>Internal structures mass (tonnes/m^2 of projected area)</t>
  </si>
  <si>
    <t>Shell design structural margin</t>
  </si>
  <si>
    <t>Minimum shell (hull) thickness (m) for psychological comfort</t>
  </si>
  <si>
    <t>angle (degrees) for drag computations (maximum cross section, approximate)</t>
  </si>
  <si>
    <t>Drag cross section (m^2)</t>
  </si>
  <si>
    <t>Drag mass/m^2 (tonnes)</t>
  </si>
  <si>
    <t>kw power per resident</t>
  </si>
  <si>
    <t>Volume per person (m^3)</t>
  </si>
  <si>
    <t>mass/resident (tonnes)</t>
  </si>
  <si>
    <t>Pressurized Volume (m^3)</t>
  </si>
  <si>
    <t>Launch capacity (tonnes)</t>
  </si>
  <si>
    <t>Launcher Price $M</t>
  </si>
  <si>
    <t xml:space="preserve">k$/kg </t>
  </si>
  <si>
    <t>k$/kg</t>
  </si>
  <si>
    <t>Outer Radius m</t>
  </si>
  <si>
    <t>Circumference m</t>
  </si>
  <si>
    <t>Tube Diameter m</t>
  </si>
  <si>
    <t>Tube Shell Area m^2</t>
  </si>
  <si>
    <t>Habitable Area (projected area) m^2</t>
  </si>
  <si>
    <t>Thickness m</t>
  </si>
  <si>
    <t>Solar Panel Area m^2</t>
  </si>
  <si>
    <t>Available Face Area m^2 (axial view cross section of primary tube)</t>
  </si>
  <si>
    <t>Surrounded area (total area enclosed by outer diameter in m^2)</t>
  </si>
  <si>
    <t>Total launch cost $B</t>
  </si>
  <si>
    <t>Materials cost $B</t>
  </si>
  <si>
    <t>Engineering cost $B</t>
  </si>
  <si>
    <t>TOTAL COST $B</t>
  </si>
  <si>
    <t>Cost per resident $B</t>
  </si>
  <si>
    <t>Price $M of launch vehicle (pay per launch OR amortized cost)</t>
  </si>
  <si>
    <t>This is a working area to play with alternate sizes, generally expressed as a function of radius</t>
  </si>
  <si>
    <r>
      <rPr>
        <b/>
        <sz val="11"/>
        <color theme="1"/>
        <rFont val="Calibri"/>
        <family val="2"/>
        <scheme val="minor"/>
      </rPr>
      <t>Knobs</t>
    </r>
    <r>
      <rPr>
        <sz val="11"/>
        <color theme="1"/>
        <rFont val="Calibri"/>
        <family val="2"/>
        <scheme val="minor"/>
      </rPr>
      <t xml:space="preserve"> (hover over value for more description)</t>
    </r>
  </si>
  <si>
    <t>Average Materials cost $/kg or $k/tonne</t>
  </si>
  <si>
    <t>Materials cost $/kg</t>
  </si>
  <si>
    <t>Launch cost $B</t>
  </si>
  <si>
    <t>Materials Cost $B</t>
  </si>
  <si>
    <t>Other Costs $B</t>
  </si>
  <si>
    <t>TOTAL COSTS $B</t>
  </si>
  <si>
    <t>Cost/resident $B</t>
  </si>
  <si>
    <t>Per-person residential living area m^2</t>
  </si>
  <si>
    <t>Cylinder aspect ratio (width to radius)</t>
  </si>
  <si>
    <t>Knobs</t>
  </si>
  <si>
    <t>SPACE SETTLEMENT THE EASIEST WAY?</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</si>
</sst>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quot;$&quot;#,##0.00_);[Red]\(&quot;$&quot;#,##0.00\)"/>
    <numFmt numFmtId="165" formatCode="_(&quot;$&quot;* #,##0.00_);_(&quot;$&quot;* \(#,##0.00\);_(&quot;$&quot;* &quot;-&quot;??_);_(@_)"/>
    <numFmt numFmtId="166" formatCode="_(* #,##0.00_);_(* \(#,##0.00\);_(* &quot;-&quot;??_);_(@_)"/>
    <numFmt numFmtId="167" formatCode="0.0"/>
    <numFmt numFmtId="168" formatCode="#,##0.00;[Red]#,##0.00"/>
    <numFmt numFmtId="169" formatCode="#,##0;[Red]#,##0"/>
    <numFmt numFmtId="170" formatCode="#,##0.000;[Red]#,##0.000"/>
    <numFmt numFmtId="171" formatCode="#,##0.000"/>
    <numFmt numFmtId="172" formatCode="_(* #,##0_);_(* \(#,##0\);_(* &quot;-&quot;??_);_(@_)"/>
    <numFmt numFmtId="173" formatCode="0.000"/>
    <numFmt numFmtId="174" formatCode="_(&quot;$&quot;* #,##0_);_(&quot;$&quot;* \(#,##0\);_(&quot;$&quot;* &quot;-&quot;??_);_(@_)"/>
    <numFmt numFmtId="175" formatCode="&quot;$&quot;#,##0"/>
    <numFmt numFmtId="176" formatCode="_(&quot;$&quot;* #,##0.000_);_(&quot;$&quot;* \(#,##0.000\);_(&quot;$&quot;* &quot;-&quot;??_);_(@_)"/>
    <numFmt numFmtId="177" formatCode="&quot;$&quot;#,##0.000"/>
  </numFmts>
  <fonts count="9"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0"/>
      <name val="Arial"/>
      <family val="2"/>
    </font>
    <font>
      <b/>
      <sz val="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FFCC99"/>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166" fontId="1" fillId="0" borderId="0" applyFont="0" applyFill="0" applyBorder="0" applyAlignment="0" applyProtection="0"/>
    <xf numFmtId="0" fontId="2" fillId="2" borderId="1" applyNumberFormat="0" applyAlignment="0" applyProtection="0"/>
    <xf numFmtId="0" fontId="3" fillId="3" borderId="1" applyNumberFormat="0" applyAlignment="0" applyProtection="0"/>
    <xf numFmtId="165" fontId="1" fillId="0" borderId="0" applyFont="0" applyFill="0" applyBorder="0" applyAlignment="0" applyProtection="0"/>
  </cellStyleXfs>
  <cellXfs count="41">
    <xf numFmtId="0" fontId="0" fillId="0" borderId="0" xfId="0"/>
    <xf numFmtId="0" fontId="4" fillId="0" borderId="0" xfId="0" applyFont="1"/>
    <xf numFmtId="9" fontId="0" fillId="0" borderId="0" xfId="0" applyNumberFormat="1"/>
    <xf numFmtId="0" fontId="5" fillId="0" borderId="0" xfId="0" applyFont="1"/>
    <xf numFmtId="4" fontId="0" fillId="0" borderId="0" xfId="0" applyNumberFormat="1"/>
    <xf numFmtId="3" fontId="5" fillId="0" borderId="0" xfId="0" applyNumberFormat="1" applyFont="1"/>
    <xf numFmtId="4" fontId="5" fillId="0" borderId="0" xfId="0" applyNumberFormat="1" applyFont="1"/>
    <xf numFmtId="1" fontId="0" fillId="0" borderId="0" xfId="0" applyNumberFormat="1"/>
    <xf numFmtId="3" fontId="0" fillId="0" borderId="0" xfId="0" applyNumberFormat="1"/>
    <xf numFmtId="0" fontId="6" fillId="0" borderId="0" xfId="0" applyFont="1"/>
    <xf numFmtId="3" fontId="6" fillId="0" borderId="0" xfId="0" applyNumberFormat="1" applyFont="1"/>
    <xf numFmtId="168" fontId="0" fillId="0" borderId="0" xfId="0" applyNumberFormat="1"/>
    <xf numFmtId="169" fontId="0" fillId="0" borderId="0" xfId="0" applyNumberFormat="1"/>
    <xf numFmtId="170" fontId="0" fillId="0" borderId="0" xfId="0" applyNumberFormat="1"/>
    <xf numFmtId="11" fontId="0" fillId="0" borderId="0" xfId="0" applyNumberFormat="1"/>
    <xf numFmtId="2" fontId="5" fillId="0" borderId="0" xfId="0" applyNumberFormat="1" applyFont="1"/>
    <xf numFmtId="1" fontId="5" fillId="0" borderId="0" xfId="0" applyNumberFormat="1" applyFont="1"/>
    <xf numFmtId="171" fontId="0" fillId="0" borderId="0" xfId="0" applyNumberFormat="1"/>
    <xf numFmtId="172" fontId="0" fillId="0" borderId="0" xfId="1" applyNumberFormat="1" applyFont="1"/>
    <xf numFmtId="0" fontId="3" fillId="3" borderId="1" xfId="3"/>
    <xf numFmtId="0" fontId="2" fillId="2" borderId="1" xfId="2"/>
    <xf numFmtId="2" fontId="2" fillId="2" borderId="1" xfId="2" applyNumberFormat="1"/>
    <xf numFmtId="167" fontId="2" fillId="2" borderId="1" xfId="2" applyNumberFormat="1"/>
    <xf numFmtId="9" fontId="2" fillId="2" borderId="1" xfId="2" applyNumberFormat="1"/>
    <xf numFmtId="171" fontId="5" fillId="0" borderId="0" xfId="0" applyNumberFormat="1" applyFont="1"/>
    <xf numFmtId="173" fontId="5" fillId="0" borderId="0" xfId="0" applyNumberFormat="1" applyFont="1"/>
    <xf numFmtId="173" fontId="0" fillId="0" borderId="0" xfId="0" applyNumberFormat="1"/>
    <xf numFmtId="173" fontId="3" fillId="3" borderId="1" xfId="3" applyNumberFormat="1"/>
    <xf numFmtId="165" fontId="0" fillId="0" borderId="0" xfId="4" applyFont="1"/>
    <xf numFmtId="174" fontId="0" fillId="0" borderId="0" xfId="4" applyNumberFormat="1" applyFont="1"/>
    <xf numFmtId="174" fontId="0" fillId="0" borderId="0" xfId="0" applyNumberFormat="1"/>
    <xf numFmtId="165" fontId="0" fillId="0" borderId="0" xfId="0" applyNumberFormat="1"/>
    <xf numFmtId="164" fontId="2" fillId="2" borderId="1" xfId="2" applyNumberFormat="1"/>
    <xf numFmtId="175" fontId="0" fillId="0" borderId="0" xfId="0" applyNumberFormat="1"/>
    <xf numFmtId="176" fontId="0" fillId="0" borderId="0" xfId="4" applyNumberFormat="1" applyFont="1"/>
    <xf numFmtId="177" fontId="0" fillId="0" borderId="0" xfId="0" applyNumberFormat="1"/>
    <xf numFmtId="176" fontId="0" fillId="0" borderId="0" xfId="0" applyNumberFormat="1"/>
    <xf numFmtId="0" fontId="4" fillId="0" borderId="0" xfId="0" applyFont="1" applyAlignment="1">
      <alignment horizontal="right"/>
    </xf>
    <xf numFmtId="167" fontId="0" fillId="0" borderId="0" xfId="0" applyNumberFormat="1"/>
    <xf numFmtId="4" fontId="2" fillId="2" borderId="1" xfId="2" applyNumberFormat="1"/>
    <xf numFmtId="0" fontId="2" fillId="2" borderId="1" xfId="2" applyNumberFormat="1"/>
  </cellXfs>
  <cellStyles count="5">
    <cellStyle name="Calculation" xfId="3" builtinId="22"/>
    <cellStyle name="Comma" xfId="1" builtinId="3"/>
    <cellStyle name="Currency" xfId="4" builtinId="4"/>
    <cellStyle name="Input"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3"/>
  <sheetViews>
    <sheetView tabSelected="1" zoomScale="120" zoomScaleNormal="120" zoomScalePageLayoutView="120" workbookViewId="0">
      <selection activeCell="F3" sqref="F3"/>
    </sheetView>
  </sheetViews>
  <sheetFormatPr baseColWidth="10" defaultColWidth="8.83203125" defaultRowHeight="14" x14ac:dyDescent="0"/>
  <cols>
    <col min="1" max="1" width="17.5" customWidth="1"/>
    <col min="2" max="2" width="9.5" customWidth="1"/>
    <col min="3" max="3" width="9.6640625" customWidth="1"/>
    <col min="4" max="4" width="10" customWidth="1"/>
    <col min="5" max="6" width="11.1640625" customWidth="1"/>
    <col min="7" max="7" width="13" customWidth="1"/>
    <col min="8" max="8" width="13.1640625" hidden="1" customWidth="1"/>
    <col min="9" max="10" width="14.5" hidden="1" customWidth="1"/>
    <col min="11" max="11" width="16.33203125" hidden="1" customWidth="1"/>
    <col min="12" max="12" width="18" hidden="1" customWidth="1"/>
    <col min="13" max="13" width="16.5" hidden="1" customWidth="1"/>
    <col min="14" max="14" width="14.33203125" hidden="1" customWidth="1"/>
    <col min="15" max="15" width="9" hidden="1" customWidth="1"/>
    <col min="16" max="22" width="0" hidden="1" customWidth="1"/>
  </cols>
  <sheetData>
    <row r="1" spans="1:11">
      <c r="A1" s="1" t="s">
        <v>130</v>
      </c>
    </row>
    <row r="2" spans="1:11">
      <c r="A2" s="1" t="s">
        <v>1</v>
      </c>
      <c r="J2">
        <v>15</v>
      </c>
      <c r="K2">
        <f>J2*12/39.37</f>
        <v>4.5720091440182884</v>
      </c>
    </row>
    <row r="3" spans="1:11">
      <c r="A3" t="s">
        <v>119</v>
      </c>
      <c r="J3">
        <v>30</v>
      </c>
      <c r="K3">
        <f>J3*12/39.37</f>
        <v>9.1440182880365768</v>
      </c>
    </row>
    <row r="4" spans="1:11">
      <c r="A4" s="21">
        <v>1</v>
      </c>
      <c r="B4" t="s">
        <v>128</v>
      </c>
      <c r="J4">
        <f>J2*J3</f>
        <v>450</v>
      </c>
      <c r="K4">
        <f>K2*K3</f>
        <v>41.806535225973683</v>
      </c>
    </row>
    <row r="5" spans="1:11">
      <c r="A5" s="20">
        <v>0</v>
      </c>
      <c r="B5" t="s">
        <v>35</v>
      </c>
      <c r="J5">
        <f>(39.37/12)^2</f>
        <v>10.76386736111111</v>
      </c>
    </row>
    <row r="6" spans="1:11" hidden="1">
      <c r="A6" s="19">
        <f>A5/2.5</f>
        <v>0</v>
      </c>
      <c r="B6" t="s">
        <v>36</v>
      </c>
    </row>
    <row r="7" spans="1:11">
      <c r="A7" s="20">
        <v>2400</v>
      </c>
      <c r="B7" t="s">
        <v>37</v>
      </c>
    </row>
    <row r="8" spans="1:11">
      <c r="A8" s="20">
        <v>1.3</v>
      </c>
      <c r="B8" t="s">
        <v>38</v>
      </c>
    </row>
    <row r="9" spans="1:11" hidden="1">
      <c r="A9" s="20">
        <v>5.0000000000000001E-3</v>
      </c>
      <c r="B9" t="s">
        <v>84</v>
      </c>
    </row>
    <row r="10" spans="1:11" hidden="1">
      <c r="A10" s="27">
        <f>(1+$A$19)*(10+A5+A11+A13/A14)</f>
        <v>41.5</v>
      </c>
      <c r="B10" t="s">
        <v>66</v>
      </c>
    </row>
    <row r="11" spans="1:11">
      <c r="A11" s="20">
        <v>0.2</v>
      </c>
      <c r="B11" t="s">
        <v>82</v>
      </c>
    </row>
    <row r="12" spans="1:11">
      <c r="A12" s="20">
        <v>0</v>
      </c>
      <c r="B12" t="s">
        <v>83</v>
      </c>
    </row>
    <row r="13" spans="1:11">
      <c r="A13" s="20">
        <v>7</v>
      </c>
      <c r="B13" t="s">
        <v>39</v>
      </c>
    </row>
    <row r="14" spans="1:11">
      <c r="A14" s="22">
        <v>40</v>
      </c>
      <c r="B14" t="s">
        <v>61</v>
      </c>
    </row>
    <row r="15" spans="1:11">
      <c r="A15" s="22">
        <v>0</v>
      </c>
      <c r="B15" t="s">
        <v>60</v>
      </c>
    </row>
    <row r="16" spans="1:11" hidden="1">
      <c r="A16" s="20">
        <v>4</v>
      </c>
      <c r="B16" t="s">
        <v>40</v>
      </c>
    </row>
    <row r="17" spans="1:21" hidden="1">
      <c r="A17" s="23">
        <v>0.28000000000000003</v>
      </c>
      <c r="B17" t="s">
        <v>41</v>
      </c>
    </row>
    <row r="18" spans="1:21" hidden="1">
      <c r="A18" s="20">
        <v>6</v>
      </c>
      <c r="B18" t="s">
        <v>65</v>
      </c>
    </row>
    <row r="19" spans="1:21">
      <c r="A19" s="23">
        <v>3</v>
      </c>
      <c r="B19" t="s">
        <v>59</v>
      </c>
    </row>
    <row r="20" spans="1:21" hidden="1">
      <c r="A20" s="20">
        <v>55</v>
      </c>
      <c r="B20" t="s">
        <v>63</v>
      </c>
    </row>
    <row r="21" spans="1:21" hidden="1">
      <c r="A21" s="20">
        <v>35</v>
      </c>
      <c r="B21" t="s">
        <v>127</v>
      </c>
    </row>
    <row r="22" spans="1:21" hidden="1">
      <c r="A22" s="19">
        <f>1.2*(60/3+2+4+4)+A21/5</f>
        <v>43</v>
      </c>
      <c r="B22" t="s">
        <v>80</v>
      </c>
    </row>
    <row r="23" spans="1:21" hidden="1">
      <c r="A23" s="19">
        <f>($A$21+$A$22)/$A$14</f>
        <v>1.95</v>
      </c>
      <c r="B23" t="s">
        <v>79</v>
      </c>
    </row>
    <row r="24" spans="1:21">
      <c r="A24" s="20">
        <v>53</v>
      </c>
      <c r="B24" t="s">
        <v>86</v>
      </c>
    </row>
    <row r="25" spans="1:21" hidden="1">
      <c r="A25" s="20">
        <v>90</v>
      </c>
      <c r="B25" t="s">
        <v>117</v>
      </c>
      <c r="E25" s="26">
        <f>A25/A24</f>
        <v>1.6981132075471699</v>
      </c>
      <c r="F25" t="s">
        <v>102</v>
      </c>
    </row>
    <row r="26" spans="1:21" hidden="1">
      <c r="A26" s="32">
        <f>E25*1000</f>
        <v>1698.1132075471698</v>
      </c>
      <c r="B26" t="s">
        <v>120</v>
      </c>
    </row>
    <row r="27" spans="1:21" hidden="1">
      <c r="A27" s="23">
        <v>1</v>
      </c>
      <c r="B27" t="s">
        <v>87</v>
      </c>
    </row>
    <row r="28" spans="1:21">
      <c r="A28" s="1" t="s">
        <v>1</v>
      </c>
      <c r="O28" t="s">
        <v>118</v>
      </c>
    </row>
    <row r="29" spans="1:21">
      <c r="B29" t="s">
        <v>2</v>
      </c>
      <c r="C29" t="s">
        <v>3</v>
      </c>
      <c r="D29" t="s">
        <v>4</v>
      </c>
      <c r="E29" t="s">
        <v>5</v>
      </c>
      <c r="F29" t="s">
        <v>6</v>
      </c>
      <c r="G29" t="s">
        <v>7</v>
      </c>
      <c r="H29" s="3" t="s">
        <v>8</v>
      </c>
      <c r="I29" t="s">
        <v>9</v>
      </c>
      <c r="J29" s="3" t="s">
        <v>10</v>
      </c>
      <c r="M29" t="s">
        <v>11</v>
      </c>
      <c r="O29" t="s">
        <v>12</v>
      </c>
      <c r="P29" s="4">
        <v>-2.5333332999999998</v>
      </c>
      <c r="Q29" t="s">
        <v>13</v>
      </c>
      <c r="R29">
        <v>-1.06</v>
      </c>
      <c r="S29" t="s">
        <v>14</v>
      </c>
      <c r="T29">
        <v>1.47</v>
      </c>
      <c r="U29" t="s">
        <v>15</v>
      </c>
    </row>
    <row r="30" spans="1:21">
      <c r="A30" t="s">
        <v>16</v>
      </c>
      <c r="B30" s="4">
        <v>1</v>
      </c>
      <c r="C30" s="4">
        <v>2</v>
      </c>
      <c r="D30" s="4">
        <v>3</v>
      </c>
      <c r="E30" s="4">
        <v>4</v>
      </c>
      <c r="F30" s="4">
        <v>5</v>
      </c>
      <c r="G30" s="4">
        <v>6</v>
      </c>
      <c r="H30" s="4">
        <v>0.75</v>
      </c>
      <c r="I30" s="4">
        <v>0.5</v>
      </c>
      <c r="J30" s="4">
        <v>0.4</v>
      </c>
      <c r="K30" s="4">
        <v>0.3</v>
      </c>
      <c r="L30" s="4">
        <v>0.25</v>
      </c>
      <c r="M30" s="4">
        <v>0.2</v>
      </c>
      <c r="N30" s="4" t="str">
        <f t="shared" ref="N30:N70" si="0">A30</f>
        <v>RPM</v>
      </c>
      <c r="O30" s="4">
        <f>2.991*3^(-P30*0.25)</f>
        <v>5.4730964693355464</v>
      </c>
      <c r="P30" s="4">
        <v>-2.2000000000000002</v>
      </c>
      <c r="Q30" s="3" t="s">
        <v>17</v>
      </c>
    </row>
    <row r="31" spans="1:21">
      <c r="A31" t="s">
        <v>67</v>
      </c>
      <c r="B31" s="5">
        <f>1/((3.14*B30/30)^2/9.8)</f>
        <v>894.55961702300306</v>
      </c>
      <c r="C31" s="5">
        <f>1/((3.14*C30/30)^2/9.8)</f>
        <v>223.63990425575076</v>
      </c>
      <c r="D31" s="5">
        <f>1/((3.14*D30/30)^2/9.8)</f>
        <v>99.395513002555887</v>
      </c>
      <c r="E31" s="5">
        <f>1/((3.14*E30/30)^2/9.8)</f>
        <v>55.909976063937691</v>
      </c>
      <c r="F31" s="5">
        <f t="shared" ref="F31:M31" si="1">1/((3.14*F30/30)^2/9.8)</f>
        <v>35.782384680920117</v>
      </c>
      <c r="G31" s="5">
        <f t="shared" si="1"/>
        <v>24.848878250638972</v>
      </c>
      <c r="H31" s="5">
        <f t="shared" si="1"/>
        <v>1590.3282080408942</v>
      </c>
      <c r="I31" s="5">
        <f t="shared" si="1"/>
        <v>3578.2384680920122</v>
      </c>
      <c r="J31" s="5">
        <f t="shared" si="1"/>
        <v>5590.9976063937656</v>
      </c>
      <c r="K31" s="5">
        <f t="shared" si="1"/>
        <v>9939.551300255589</v>
      </c>
      <c r="L31" s="5">
        <f t="shared" si="1"/>
        <v>14312.953872368049</v>
      </c>
      <c r="M31" s="5">
        <f t="shared" si="1"/>
        <v>22363.990425575063</v>
      </c>
      <c r="N31" s="4" t="str">
        <f t="shared" si="0"/>
        <v>Radius m</v>
      </c>
      <c r="O31" s="5">
        <f>1/((3.14*O30/30)^2/9.8)</f>
        <v>29.863663456049331</v>
      </c>
      <c r="P31" s="6"/>
      <c r="Q31" s="6"/>
      <c r="R31" s="7"/>
    </row>
    <row r="32" spans="1:21">
      <c r="A32" t="s">
        <v>68</v>
      </c>
      <c r="B32" s="8">
        <f t="shared" ref="B32:M32" si="2">B31*$A$4</f>
        <v>894.55961702300306</v>
      </c>
      <c r="C32" s="8">
        <f t="shared" si="2"/>
        <v>223.63990425575076</v>
      </c>
      <c r="D32" s="8">
        <f t="shared" si="2"/>
        <v>99.395513002555887</v>
      </c>
      <c r="E32" s="8">
        <f t="shared" si="2"/>
        <v>55.909976063937691</v>
      </c>
      <c r="F32" s="8">
        <f t="shared" si="2"/>
        <v>35.782384680920117</v>
      </c>
      <c r="G32" s="8">
        <f t="shared" si="2"/>
        <v>24.848878250638972</v>
      </c>
      <c r="H32" s="8">
        <f t="shared" si="2"/>
        <v>1590.3282080408942</v>
      </c>
      <c r="I32" s="8">
        <f t="shared" si="2"/>
        <v>3578.2384680920122</v>
      </c>
      <c r="J32" s="8">
        <f t="shared" si="2"/>
        <v>5590.9976063937656</v>
      </c>
      <c r="K32" s="8">
        <f t="shared" si="2"/>
        <v>9939.551300255589</v>
      </c>
      <c r="L32" s="8">
        <f t="shared" si="2"/>
        <v>14312.953872368049</v>
      </c>
      <c r="M32" s="8">
        <f t="shared" si="2"/>
        <v>22363.990425575063</v>
      </c>
      <c r="N32" s="4" t="str">
        <f t="shared" si="0"/>
        <v>Width m</v>
      </c>
      <c r="O32" s="8">
        <f>O31*$A$4</f>
        <v>29.863663456049331</v>
      </c>
      <c r="P32" s="6"/>
      <c r="R32" s="7"/>
    </row>
    <row r="33" spans="1:19">
      <c r="A33" s="9" t="s">
        <v>18</v>
      </c>
      <c r="B33" s="10">
        <f>IF($A$14=0,0,B62/$A$14)+IF($A$15=0,0,B61/$A$15)</f>
        <v>125637.19462010967</v>
      </c>
      <c r="C33" s="10">
        <f>IF($A$14=0,0,C62/$A$14)+IF($A$15=0,0,C61/$A$15)</f>
        <v>7852.3246637568545</v>
      </c>
      <c r="D33" s="10">
        <f>IF($A$14=0,0,D62/$A$14)+IF($A$15=0,0,D61/$A$15)</f>
        <v>1551.0764767914775</v>
      </c>
      <c r="E33" s="10">
        <f>IF($A$14=0,0,E62/$A$14)+IF($A$15=0,0,E61/$A$15)</f>
        <v>490.77029148480341</v>
      </c>
      <c r="F33" s="10">
        <f t="shared" ref="F33:M33" si="3">IF($A$14=0,0,F62/$A$14)+IF($A$15=0,0,F61/$A$15)</f>
        <v>201.01951139217545</v>
      </c>
      <c r="G33" s="10">
        <f t="shared" si="3"/>
        <v>96.942279799467343</v>
      </c>
      <c r="H33" s="10">
        <f t="shared" si="3"/>
        <v>397075.57805861824</v>
      </c>
      <c r="I33" s="10">
        <f t="shared" si="3"/>
        <v>2010195.1139217548</v>
      </c>
      <c r="J33" s="10">
        <f t="shared" si="3"/>
        <v>4907702.9148480278</v>
      </c>
      <c r="K33" s="10">
        <f t="shared" si="3"/>
        <v>15510764.767914776</v>
      </c>
      <c r="L33" s="10">
        <f t="shared" si="3"/>
        <v>32163121.822748076</v>
      </c>
      <c r="M33" s="10">
        <f t="shared" si="3"/>
        <v>78523246.637568444</v>
      </c>
      <c r="N33" s="4" t="str">
        <f t="shared" si="0"/>
        <v>Design Population</v>
      </c>
      <c r="O33" s="10">
        <f>IF($A$14=0,0,O62/$A$14)+IF($A$15=0,0,O61/$A$15)</f>
        <v>140.01862801753967</v>
      </c>
      <c r="P33" s="10"/>
      <c r="Q33" s="10"/>
    </row>
    <row r="34" spans="1:19" hidden="1">
      <c r="A34" t="s">
        <v>69</v>
      </c>
      <c r="B34" s="8">
        <f t="shared" ref="B34:M34" si="4">B32-B56*2*$A$16</f>
        <v>822.55961702300306</v>
      </c>
      <c r="C34" s="8">
        <f t="shared" si="4"/>
        <v>167.63990425575076</v>
      </c>
      <c r="D34" s="8">
        <f t="shared" si="4"/>
        <v>51.395513002555887</v>
      </c>
      <c r="E34" s="8">
        <f t="shared" si="4"/>
        <v>15.909976063937691</v>
      </c>
      <c r="F34" s="8">
        <f t="shared" si="4"/>
        <v>-4.2176153190798829</v>
      </c>
      <c r="G34" s="8">
        <f t="shared" si="4"/>
        <v>-7.1511217493610282</v>
      </c>
      <c r="H34" s="8">
        <f t="shared" si="4"/>
        <v>1510.3282080408942</v>
      </c>
      <c r="I34" s="8">
        <f t="shared" si="4"/>
        <v>3490.2384680920122</v>
      </c>
      <c r="J34" s="8">
        <f t="shared" si="4"/>
        <v>5494.9976063937656</v>
      </c>
      <c r="K34" s="8">
        <f t="shared" si="4"/>
        <v>9835.551300255589</v>
      </c>
      <c r="L34" s="8">
        <f t="shared" si="4"/>
        <v>14208.953872368049</v>
      </c>
      <c r="M34" s="8">
        <f t="shared" si="4"/>
        <v>22251.990425575063</v>
      </c>
      <c r="N34" s="4" t="str">
        <f t="shared" si="0"/>
        <v xml:space="preserve">Central Park </v>
      </c>
      <c r="O34" s="8">
        <f>O32-O56*2*$A$16</f>
        <v>-2.1363365439506694</v>
      </c>
      <c r="P34" s="8"/>
      <c r="Q34" s="8"/>
    </row>
    <row r="35" spans="1:19" hidden="1">
      <c r="A35" t="s">
        <v>19</v>
      </c>
      <c r="B35" s="8">
        <f t="shared" ref="B35:M35" si="5">2*(B31-B56*$A$16)</f>
        <v>1717.1192340460061</v>
      </c>
      <c r="C35" s="8">
        <f t="shared" si="5"/>
        <v>391.27980851150153</v>
      </c>
      <c r="D35" s="8">
        <f t="shared" si="5"/>
        <v>150.79102600511177</v>
      </c>
      <c r="E35" s="8">
        <f t="shared" si="5"/>
        <v>71.819952127875382</v>
      </c>
      <c r="F35" s="8">
        <f t="shared" si="5"/>
        <v>31.564769361840234</v>
      </c>
      <c r="G35" s="8">
        <f t="shared" si="5"/>
        <v>17.697756501277944</v>
      </c>
      <c r="H35" s="8">
        <f t="shared" si="5"/>
        <v>3100.6564160817884</v>
      </c>
      <c r="I35" s="8">
        <f t="shared" si="5"/>
        <v>7068.4769361840245</v>
      </c>
      <c r="J35" s="8">
        <f t="shared" si="5"/>
        <v>11085.995212787531</v>
      </c>
      <c r="K35" s="8">
        <f t="shared" si="5"/>
        <v>19775.102600511178</v>
      </c>
      <c r="L35" s="8">
        <f t="shared" si="5"/>
        <v>28521.907744736098</v>
      </c>
      <c r="M35" s="8">
        <f t="shared" si="5"/>
        <v>44615.980851150125</v>
      </c>
      <c r="N35" s="4" t="str">
        <f t="shared" si="0"/>
        <v>Ceiling</v>
      </c>
      <c r="O35" s="8">
        <f>2*(O31-O56*$A$16)</f>
        <v>27.727326912098661</v>
      </c>
      <c r="P35" s="8"/>
      <c r="Q35" s="8"/>
    </row>
    <row r="36" spans="1:19" hidden="1">
      <c r="A36" t="s">
        <v>20</v>
      </c>
      <c r="B36" s="8">
        <f t="shared" ref="B36:M36" si="6">(2*3.14*(B31+$A$6)^2+2*3.14*(B31+$A$6)*(B32+2*$A$6))</f>
        <v>10050975.569608774</v>
      </c>
      <c r="C36" s="8">
        <f t="shared" si="6"/>
        <v>628185.97310054838</v>
      </c>
      <c r="D36" s="8">
        <f t="shared" si="6"/>
        <v>124086.11814331819</v>
      </c>
      <c r="E36" s="8">
        <f t="shared" si="6"/>
        <v>39261.623318784274</v>
      </c>
      <c r="F36" s="8">
        <f t="shared" si="6"/>
        <v>16081.560911374036</v>
      </c>
      <c r="G36" s="8">
        <f t="shared" si="6"/>
        <v>7755.382383957387</v>
      </c>
      <c r="H36" s="8">
        <f t="shared" si="6"/>
        <v>31766046.244689457</v>
      </c>
      <c r="I36" s="8">
        <f t="shared" si="6"/>
        <v>160815609.11374038</v>
      </c>
      <c r="J36" s="8">
        <f t="shared" si="6"/>
        <v>392616233.18784225</v>
      </c>
      <c r="K36" s="8">
        <f t="shared" si="6"/>
        <v>1240861181.4331818</v>
      </c>
      <c r="L36" s="8">
        <f t="shared" si="6"/>
        <v>2573049745.8198462</v>
      </c>
      <c r="M36" s="8">
        <f t="shared" si="6"/>
        <v>6281859731.005476</v>
      </c>
      <c r="N36" s="4" t="str">
        <f t="shared" si="0"/>
        <v>Shell area</v>
      </c>
      <c r="O36" s="8">
        <f>(2*3.14*(O31+$A$6)^2+2*3.14*(O31+$A$6)*(O32+2*$A$6))</f>
        <v>11201.490241403175</v>
      </c>
    </row>
    <row r="37" spans="1:19">
      <c r="A37" t="s">
        <v>21</v>
      </c>
      <c r="B37" s="11">
        <f>MAX($A$9*(B61+B62)*$A$8/1000,$A$8*1000*2*3.14*(B$31+$A$6)^3*($A$4+1)*($A$10*10000)/($A$7*1000000-$A$8*1000*((B$31+$A$6)/B$31)*9.8*(B$31+$E$298))/1000000)</f>
        <v>2030.7895759290102</v>
      </c>
      <c r="C37" s="11">
        <f>MAX($A$9*(C61+C62)*$A$8/1000,$A$8*1000*2*3.14*(C$31+$A$6)^3*($A$4+1)*($A$10*10000)/($A$7*1000000-$A$8*1000*((C$31+$A$6)/C$31)*9.8*(C$31+$E$298))/1000000)</f>
        <v>31.617943633728181</v>
      </c>
      <c r="D37" s="11">
        <f t="shared" ref="D37:M37" si="7">MAX($A$9*(D61+D62)*$A$8/1000,$A$8*1000*2*3.14*(D$31+$A$6)^3*($A$4+1)*($A$10*10000)/($A$7*1000000-$A$8*1000*((D$31+$A$6)/D$31)*9.8*(D$31+$E$298))/1000000)</f>
        <v>2.7739548639913409</v>
      </c>
      <c r="E37" s="11">
        <f>MAX($A$9*(E61+E62)*$A$8/1000,$A$8*1000*2*3.14*(E$31+$A$6)^3*($A$4+1)*($A$10*10000)/($A$7*1000000-$A$8*1000*((E$31+$A$6)/E$31)*9.8*(E$31+$E$298))/1000000)</f>
        <v>0.49359037066436812</v>
      </c>
      <c r="F37" s="11">
        <f t="shared" si="7"/>
        <v>0.12937792677305232</v>
      </c>
      <c r="G37" s="11">
        <f t="shared" si="7"/>
        <v>5.0409985495723016E-2</v>
      </c>
      <c r="H37" s="11">
        <f t="shared" si="7"/>
        <v>11452.808712569773</v>
      </c>
      <c r="I37" s="11">
        <f t="shared" si="7"/>
        <v>131857.92516190893</v>
      </c>
      <c r="J37" s="11">
        <f t="shared" si="7"/>
        <v>508536.67706122575</v>
      </c>
      <c r="K37" s="11">
        <f t="shared" si="7"/>
        <v>2926922.8840748654</v>
      </c>
      <c r="L37" s="11">
        <f t="shared" si="7"/>
        <v>8959325.5451019388</v>
      </c>
      <c r="M37" s="11">
        <f t="shared" si="7"/>
        <v>35834521.992104016</v>
      </c>
      <c r="N37" s="4" t="str">
        <f t="shared" si="0"/>
        <v>Shell (kT or kiloTons)</v>
      </c>
      <c r="O37" s="11">
        <f>MAX($A$9*(O61+O62)*$A$8/1000,$A$8*1000*2*3.14*(O$31+$A$6)^3*($A$4+1)*($A$10*10000)/($A$7*1000000-$A$8*1000*((O$31+$A$6)/O$31)*9.8*(O$31+$E$298))/1000000)</f>
        <v>7.5208676723164058E-2</v>
      </c>
      <c r="P37" s="12"/>
    </row>
    <row r="38" spans="1:19">
      <c r="A38" t="s">
        <v>85</v>
      </c>
      <c r="B38" s="13">
        <f t="shared" ref="B38:M38" si="8">1000*B37/B36/$A$8</f>
        <v>0.15542230869222035</v>
      </c>
      <c r="C38" s="13">
        <f t="shared" si="8"/>
        <v>3.8717029899320743E-2</v>
      </c>
      <c r="D38" s="13">
        <f t="shared" si="8"/>
        <v>1.7196213934059592E-2</v>
      </c>
      <c r="E38" s="13">
        <f t="shared" si="8"/>
        <v>9.6706368309890153E-3</v>
      </c>
      <c r="F38" s="13">
        <f t="shared" si="8"/>
        <v>6.1885461667298977E-3</v>
      </c>
      <c r="G38" s="13">
        <f t="shared" si="8"/>
        <v>4.9999999999999992E-3</v>
      </c>
      <c r="H38" s="13">
        <f t="shared" si="8"/>
        <v>0.27733551692148983</v>
      </c>
      <c r="I38" s="13">
        <f t="shared" si="8"/>
        <v>0.63071721557657001</v>
      </c>
      <c r="J38" s="13">
        <f t="shared" si="8"/>
        <v>0.99634713547544496</v>
      </c>
      <c r="K38" s="13">
        <f t="shared" si="8"/>
        <v>1.8144488483358108</v>
      </c>
      <c r="L38" s="13">
        <f t="shared" si="8"/>
        <v>2.6784514726324211</v>
      </c>
      <c r="M38" s="13">
        <f t="shared" si="8"/>
        <v>4.388034451159422</v>
      </c>
      <c r="N38" s="4" t="str">
        <f t="shared" si="0"/>
        <v>hull thickness (m)</v>
      </c>
      <c r="O38" s="13">
        <f>1000*O37/O36/$A$8</f>
        <v>5.1647438869116668E-3</v>
      </c>
      <c r="P38" s="4"/>
      <c r="Q38" s="3"/>
    </row>
    <row r="39" spans="1:19">
      <c r="A39" t="s">
        <v>22</v>
      </c>
      <c r="B39" s="4">
        <f>($A$11*B62+$A$12*B61)/1000</f>
        <v>1005.0975569608775</v>
      </c>
      <c r="C39" s="4">
        <f t="shared" ref="C39:M39" si="9">($A$11*C62+$A$12*C61)/1000</f>
        <v>62.818597310054841</v>
      </c>
      <c r="D39" s="4">
        <f t="shared" si="9"/>
        <v>12.40861181433182</v>
      </c>
      <c r="E39" s="4">
        <f t="shared" si="9"/>
        <v>3.9261623318784276</v>
      </c>
      <c r="F39" s="4">
        <f t="shared" si="9"/>
        <v>1.6081560911374035</v>
      </c>
      <c r="G39" s="4">
        <f t="shared" si="9"/>
        <v>0.77553823839573877</v>
      </c>
      <c r="H39" s="4">
        <f t="shared" si="9"/>
        <v>3176.604624468946</v>
      </c>
      <c r="I39" s="4">
        <f t="shared" si="9"/>
        <v>16081.560911374039</v>
      </c>
      <c r="J39" s="4">
        <f t="shared" si="9"/>
        <v>39261.62331878423</v>
      </c>
      <c r="K39" s="4">
        <f t="shared" si="9"/>
        <v>124086.11814331821</v>
      </c>
      <c r="L39" s="4">
        <f t="shared" si="9"/>
        <v>257304.97458198463</v>
      </c>
      <c r="M39" s="4">
        <f t="shared" si="9"/>
        <v>628185.97310054768</v>
      </c>
      <c r="N39" s="4" t="str">
        <f t="shared" si="0"/>
        <v>Internal Structures (kT)</v>
      </c>
      <c r="O39" s="4">
        <f>($A$11*O62+$A$12*O61)/1000</f>
        <v>1.1201490241403174</v>
      </c>
      <c r="P39" s="8"/>
      <c r="Q39" s="3"/>
      <c r="R39" s="3"/>
    </row>
    <row r="40" spans="1:19">
      <c r="A40" t="s">
        <v>23</v>
      </c>
      <c r="B40" s="4">
        <f t="shared" ref="B40:M40" si="10">IF(B38&gt;($A$5/$A$8),0,$A$5*B36)/1000</f>
        <v>0</v>
      </c>
      <c r="C40" s="4">
        <f t="shared" si="10"/>
        <v>0</v>
      </c>
      <c r="D40" s="4">
        <f t="shared" si="10"/>
        <v>0</v>
      </c>
      <c r="E40" s="4">
        <f t="shared" si="10"/>
        <v>0</v>
      </c>
      <c r="F40" s="4">
        <f t="shared" si="10"/>
        <v>0</v>
      </c>
      <c r="G40" s="4">
        <f t="shared" si="10"/>
        <v>0</v>
      </c>
      <c r="H40" s="4">
        <f t="shared" si="10"/>
        <v>0</v>
      </c>
      <c r="I40" s="4">
        <f t="shared" si="10"/>
        <v>0</v>
      </c>
      <c r="J40" s="4">
        <f t="shared" si="10"/>
        <v>0</v>
      </c>
      <c r="K40" s="4">
        <f t="shared" si="10"/>
        <v>0</v>
      </c>
      <c r="L40" s="4">
        <f t="shared" si="10"/>
        <v>0</v>
      </c>
      <c r="M40" s="4">
        <f t="shared" si="10"/>
        <v>0</v>
      </c>
      <c r="N40" s="4" t="str">
        <f t="shared" si="0"/>
        <v>Shield (kT)</v>
      </c>
      <c r="O40" s="4">
        <f>IF(O38&gt;($A$5/$A$8),0,$A$5*O36)/1000</f>
        <v>0</v>
      </c>
      <c r="P40" s="14"/>
      <c r="Q40" s="14"/>
      <c r="R40" s="15"/>
      <c r="S40" s="15"/>
    </row>
    <row r="41" spans="1:19">
      <c r="A41" s="3" t="s">
        <v>48</v>
      </c>
      <c r="B41" s="4">
        <f t="shared" ref="B41:M41" si="11">B33*($A$13)/1000</f>
        <v>879.4603623407678</v>
      </c>
      <c r="C41" s="4">
        <f t="shared" si="11"/>
        <v>54.966272646297988</v>
      </c>
      <c r="D41" s="4">
        <f t="shared" si="11"/>
        <v>10.857535337540343</v>
      </c>
      <c r="E41" s="4">
        <f t="shared" si="11"/>
        <v>3.4353920403936242</v>
      </c>
      <c r="F41" s="4">
        <f t="shared" si="11"/>
        <v>1.4071365797452282</v>
      </c>
      <c r="G41" s="4">
        <f t="shared" si="11"/>
        <v>0.67859595859627142</v>
      </c>
      <c r="H41" s="4">
        <f t="shared" si="11"/>
        <v>2779.5290464103277</v>
      </c>
      <c r="I41" s="4">
        <f t="shared" si="11"/>
        <v>14071.365797452285</v>
      </c>
      <c r="J41" s="4">
        <f t="shared" si="11"/>
        <v>34353.920403936194</v>
      </c>
      <c r="K41" s="4">
        <f t="shared" si="11"/>
        <v>108575.35337540343</v>
      </c>
      <c r="L41" s="4">
        <f t="shared" si="11"/>
        <v>225141.85275923656</v>
      </c>
      <c r="M41" s="4">
        <f t="shared" si="11"/>
        <v>549662.7264629791</v>
      </c>
      <c r="N41" s="4" t="str">
        <f>A41</f>
        <v>Non-structural mass kT</v>
      </c>
      <c r="O41" s="4">
        <f>O33*($A$13)/1000</f>
        <v>0.98013039612277775</v>
      </c>
      <c r="Q41" s="14"/>
      <c r="R41" s="15"/>
      <c r="S41" s="15"/>
    </row>
    <row r="42" spans="1:19">
      <c r="A42" s="3" t="s">
        <v>49</v>
      </c>
      <c r="B42" s="4">
        <f>(1.2*B59/1000)/1000</f>
        <v>2698.7249170364094</v>
      </c>
      <c r="C42" s="4">
        <f t="shared" ref="C42:M42" si="12">(1.2*C59/1000)/1000</f>
        <v>42.167576828693896</v>
      </c>
      <c r="D42" s="4">
        <f t="shared" si="12"/>
        <v>3.7019546187056362</v>
      </c>
      <c r="E42" s="4">
        <f t="shared" si="12"/>
        <v>0.65886838794834213</v>
      </c>
      <c r="F42" s="4">
        <f t="shared" si="12"/>
        <v>0.17271839469033012</v>
      </c>
      <c r="G42" s="4">
        <f t="shared" si="12"/>
        <v>5.7843040917275566E-2</v>
      </c>
      <c r="H42" s="4">
        <f t="shared" si="12"/>
        <v>15163.206118218286</v>
      </c>
      <c r="I42" s="4">
        <f t="shared" si="12"/>
        <v>172718.3946903302</v>
      </c>
      <c r="J42" s="4">
        <f t="shared" si="12"/>
        <v>658868.38794834085</v>
      </c>
      <c r="K42" s="4">
        <f t="shared" si="12"/>
        <v>3701954.6187056359</v>
      </c>
      <c r="L42" s="4">
        <f t="shared" si="12"/>
        <v>11053977.260181133</v>
      </c>
      <c r="M42" s="4">
        <f t="shared" si="12"/>
        <v>42167576.828693815</v>
      </c>
      <c r="N42" s="4" t="str">
        <f>A42</f>
        <v>Air mass kT</v>
      </c>
      <c r="O42" s="4">
        <f>(1.2*O59/1000)/1000</f>
        <v>0.10040607726834232</v>
      </c>
      <c r="Q42" s="14"/>
      <c r="R42" s="15"/>
      <c r="S42" s="15"/>
    </row>
    <row r="43" spans="1:19">
      <c r="A43" t="s">
        <v>24</v>
      </c>
      <c r="B43" s="4">
        <f>B37+B39+B40+B41+B42</f>
        <v>6614.0724122670654</v>
      </c>
      <c r="C43" s="4">
        <f t="shared" ref="C43:M43" si="13">C37+C39+C40+C41+C42</f>
        <v>191.57039041877493</v>
      </c>
      <c r="D43" s="4">
        <f t="shared" si="13"/>
        <v>29.742056634569138</v>
      </c>
      <c r="E43" s="4">
        <f t="shared" si="13"/>
        <v>8.5140131308847611</v>
      </c>
      <c r="F43" s="4">
        <f t="shared" si="13"/>
        <v>3.3173889923460145</v>
      </c>
      <c r="G43" s="4">
        <f t="shared" si="13"/>
        <v>1.5623872234050089</v>
      </c>
      <c r="H43" s="4">
        <f t="shared" si="13"/>
        <v>32572.148501667332</v>
      </c>
      <c r="I43" s="4">
        <f t="shared" si="13"/>
        <v>334729.24656106543</v>
      </c>
      <c r="J43" s="4">
        <f t="shared" si="13"/>
        <v>1241020.6087322868</v>
      </c>
      <c r="K43" s="4">
        <f t="shared" si="13"/>
        <v>6861538.9742992222</v>
      </c>
      <c r="L43" s="4">
        <f t="shared" si="13"/>
        <v>20495749.632624291</v>
      </c>
      <c r="M43" s="4">
        <f t="shared" si="13"/>
        <v>79179947.520361364</v>
      </c>
      <c r="N43" s="4" t="str">
        <f t="shared" si="0"/>
        <v>Total Mass (kT)</v>
      </c>
      <c r="O43" s="4">
        <f>O37+O39+O40+O41+O42</f>
        <v>2.2758941742546015</v>
      </c>
      <c r="P43" s="14"/>
      <c r="Q43" s="14"/>
    </row>
    <row r="44" spans="1:19">
      <c r="A44" t="s">
        <v>25</v>
      </c>
      <c r="B44" s="8">
        <f>4082/B43</f>
        <v>0.61716893096440073</v>
      </c>
      <c r="C44" s="8">
        <f>4082/C43</f>
        <v>21.308094591636547</v>
      </c>
      <c r="D44" s="8">
        <f>4082/D43</f>
        <v>137.246729442896</v>
      </c>
      <c r="E44" s="8">
        <f>4082/E43</f>
        <v>479.44487954716203</v>
      </c>
      <c r="F44" s="8">
        <f t="shared" ref="F44:G44" si="14">4082/F43</f>
        <v>1230.4857854831375</v>
      </c>
      <c r="G44" s="8">
        <f t="shared" si="14"/>
        <v>2612.6685746340399</v>
      </c>
      <c r="H44" s="8"/>
      <c r="I44" s="8"/>
      <c r="J44" s="8"/>
      <c r="K44" s="8"/>
      <c r="L44" s="8"/>
      <c r="M44" s="8"/>
      <c r="N44" s="4" t="str">
        <f t="shared" si="0"/>
        <v>Reduction Factor</v>
      </c>
      <c r="O44" s="8">
        <f>$B$43/O43</f>
        <v>2906.1423360922745</v>
      </c>
      <c r="P44" s="14"/>
    </row>
    <row r="45" spans="1:19" hidden="1">
      <c r="A45" t="s">
        <v>78</v>
      </c>
      <c r="B45" s="8">
        <f>MAX(2*(0.75*(1000*(B37+B39)/6)/3.14)^(1/3),2*(0.75*(1000*1.4*B40/2.7)/3.14)^(1/3))</f>
        <v>98.882322372501548</v>
      </c>
      <c r="C45" s="8">
        <f t="shared" ref="C45:M45" si="15">MAX(2*(0.75*(1000*(C37+C39)/6)/3.14)^(1/3),2*(0.75*(1000*1.4*C40/2.7)/3.14)^(1/3))</f>
        <v>31.098311378337034</v>
      </c>
      <c r="D45" s="8">
        <f>MAX(2*(0.75*(1000*(D37+D39)/6)/3.14)^(1/3),2*(0.75*(1000*1.4*D40/2.7)/3.14)^(1/3))</f>
        <v>16.909801764660287</v>
      </c>
      <c r="E45" s="8">
        <f t="shared" si="15"/>
        <v>11.207001773417179</v>
      </c>
      <c r="F45" s="8">
        <f t="shared" si="15"/>
        <v>8.2098374041682014</v>
      </c>
      <c r="G45" s="8">
        <f t="shared" si="15"/>
        <v>6.4072901597926855</v>
      </c>
      <c r="H45" s="8">
        <f t="shared" si="15"/>
        <v>167.01895195832853</v>
      </c>
      <c r="I45" s="8">
        <f t="shared" si="15"/>
        <v>361.17539176255895</v>
      </c>
      <c r="J45" s="8">
        <f t="shared" si="15"/>
        <v>558.76647861046672</v>
      </c>
      <c r="K45" s="8">
        <f t="shared" si="15"/>
        <v>990.462294007178</v>
      </c>
      <c r="L45" s="8">
        <f t="shared" si="15"/>
        <v>1431.7950056600725</v>
      </c>
      <c r="M45" s="8">
        <f t="shared" si="15"/>
        <v>2264.5039906198895</v>
      </c>
      <c r="N45" s="4" t="str">
        <f t="shared" si="0"/>
        <v>min.asteroid (m diameter)]</v>
      </c>
      <c r="O45" s="8">
        <f>MAX(2*(0.75*(1000*(O37+O39)/6)/3.14)^(1/3),2*(0.75*(1000*1.4*O40/2.7)/3.14)^(1/3))</f>
        <v>7.2475198230998732</v>
      </c>
      <c r="P45" s="3"/>
    </row>
    <row r="46" spans="1:19">
      <c r="A46" t="s">
        <v>26</v>
      </c>
      <c r="B46" s="8">
        <f>1000*B43/B33</f>
        <v>52.644222375914204</v>
      </c>
      <c r="C46" s="8">
        <f t="shared" ref="C46:M46" si="16">1000*C43/C33</f>
        <v>24.396646677510184</v>
      </c>
      <c r="D46" s="8">
        <f t="shared" si="16"/>
        <v>19.175106501578114</v>
      </c>
      <c r="E46" s="8">
        <f t="shared" si="16"/>
        <v>17.348265122418063</v>
      </c>
      <c r="F46" s="8">
        <f t="shared" si="16"/>
        <v>16.502820892216842</v>
      </c>
      <c r="G46" s="8">
        <f t="shared" si="16"/>
        <v>16.116675063108982</v>
      </c>
      <c r="H46" s="8">
        <f t="shared" si="16"/>
        <v>82.030097798809663</v>
      </c>
      <c r="I46" s="8">
        <f t="shared" si="16"/>
        <v>166.5157995076564</v>
      </c>
      <c r="J46" s="8">
        <f t="shared" si="16"/>
        <v>252.87199128896668</v>
      </c>
      <c r="K46" s="8">
        <f t="shared" si="16"/>
        <v>442.37270547051617</v>
      </c>
      <c r="L46" s="8">
        <f t="shared" si="16"/>
        <v>637.24378950454434</v>
      </c>
      <c r="M46" s="8">
        <f t="shared" si="16"/>
        <v>1008.3631397186616</v>
      </c>
      <c r="N46" s="4" t="str">
        <f t="shared" si="0"/>
        <v>Total mass per person (tonnes)</v>
      </c>
      <c r="O46" s="8">
        <f>1000*O43/O33</f>
        <v>16.25422421629148</v>
      </c>
      <c r="Q46" s="8"/>
      <c r="R46" s="3"/>
    </row>
    <row r="47" spans="1:19" hidden="1">
      <c r="A47" s="3" t="s">
        <v>77</v>
      </c>
      <c r="B47" s="7">
        <f>(($A$18*1000*B33)/(1366*$A$17)/3.14)^0.5</f>
        <v>792.25602568521288</v>
      </c>
      <c r="C47" s="7">
        <f t="shared" ref="C47:M47" si="17">(($A$18*1000*C33)/(1366*$A$17)/3.14)^0.5</f>
        <v>198.06400642130322</v>
      </c>
      <c r="D47" s="7">
        <f t="shared" si="17"/>
        <v>88.028447298356994</v>
      </c>
      <c r="E47" s="7">
        <f t="shared" si="17"/>
        <v>49.516001605325805</v>
      </c>
      <c r="F47" s="7">
        <f t="shared" si="17"/>
        <v>31.690241027408511</v>
      </c>
      <c r="G47" s="7">
        <f t="shared" si="17"/>
        <v>22.007111824589249</v>
      </c>
      <c r="H47" s="7">
        <f t="shared" si="17"/>
        <v>1408.4551567737119</v>
      </c>
      <c r="I47" s="7">
        <f t="shared" si="17"/>
        <v>3169.0241027408515</v>
      </c>
      <c r="J47" s="7">
        <f t="shared" si="17"/>
        <v>4951.6001605325773</v>
      </c>
      <c r="K47" s="7">
        <f t="shared" si="17"/>
        <v>8802.8447298356987</v>
      </c>
      <c r="L47" s="7">
        <f t="shared" si="17"/>
        <v>12676.096410963406</v>
      </c>
      <c r="M47" s="7">
        <f t="shared" si="17"/>
        <v>19806.400642130309</v>
      </c>
      <c r="N47" s="4" t="str">
        <f t="shared" si="0"/>
        <v>SPS radius m</v>
      </c>
      <c r="O47" s="7">
        <f>(($A$18*1000*O33)/(1366*$A$17)/3.14)^0.5</f>
        <v>26.448396363818844</v>
      </c>
      <c r="Q47" s="2"/>
      <c r="R47" s="3"/>
    </row>
    <row r="48" spans="1:19" hidden="1">
      <c r="A48" t="s">
        <v>27</v>
      </c>
      <c r="B48" s="7">
        <f>3.14*2*B31/(60/B30)</f>
        <v>93.630573248407657</v>
      </c>
      <c r="C48" s="7">
        <f t="shared" ref="C48:M48" si="18">3.14*2*C31/(60/C30)</f>
        <v>46.815286624203829</v>
      </c>
      <c r="D48" s="7">
        <f t="shared" si="18"/>
        <v>31.210191082802549</v>
      </c>
      <c r="E48" s="7">
        <f t="shared" si="18"/>
        <v>23.407643312101914</v>
      </c>
      <c r="F48" s="7">
        <f t="shared" si="18"/>
        <v>18.726114649681531</v>
      </c>
      <c r="G48" s="7">
        <f t="shared" si="18"/>
        <v>15.605095541401274</v>
      </c>
      <c r="H48" s="7">
        <f t="shared" si="18"/>
        <v>124.8407643312102</v>
      </c>
      <c r="I48" s="7">
        <f t="shared" si="18"/>
        <v>187.26114649681531</v>
      </c>
      <c r="J48" s="7">
        <f t="shared" si="18"/>
        <v>234.07643312101897</v>
      </c>
      <c r="K48" s="7">
        <f t="shared" si="18"/>
        <v>312.1019108280255</v>
      </c>
      <c r="L48" s="7">
        <f t="shared" si="18"/>
        <v>374.52229299363063</v>
      </c>
      <c r="M48" s="7">
        <f t="shared" si="18"/>
        <v>468.15286624203793</v>
      </c>
      <c r="N48" s="4" t="str">
        <f t="shared" si="0"/>
        <v>tangential velocity (meters per second)</v>
      </c>
      <c r="O48" s="7">
        <f>3.14*2*O31/(60/O30)</f>
        <v>17.107422420378924</v>
      </c>
      <c r="Q48" s="7"/>
      <c r="R48" s="3"/>
    </row>
    <row r="49" spans="1:18" hidden="1">
      <c r="A49" s="3" t="s">
        <v>28</v>
      </c>
      <c r="B49" s="7">
        <f>B48*3.28*3600/5280</f>
        <v>209.39200926462073</v>
      </c>
      <c r="C49" s="7">
        <f t="shared" ref="C49:M49" si="19">C48*3.28*3600/5280</f>
        <v>104.69600463231036</v>
      </c>
      <c r="D49" s="7">
        <f t="shared" si="19"/>
        <v>69.797336421540237</v>
      </c>
      <c r="E49" s="7">
        <f t="shared" si="19"/>
        <v>52.348002316155181</v>
      </c>
      <c r="F49" s="7">
        <f t="shared" si="19"/>
        <v>41.878401852924149</v>
      </c>
      <c r="G49" s="7">
        <f t="shared" si="19"/>
        <v>34.898668210770118</v>
      </c>
      <c r="H49" s="7">
        <f t="shared" si="19"/>
        <v>279.18934568616095</v>
      </c>
      <c r="I49" s="7">
        <f t="shared" si="19"/>
        <v>418.78401852924145</v>
      </c>
      <c r="J49" s="7">
        <f t="shared" si="19"/>
        <v>523.48002316155146</v>
      </c>
      <c r="K49" s="7">
        <f t="shared" si="19"/>
        <v>697.9733642154024</v>
      </c>
      <c r="L49" s="7">
        <f t="shared" si="19"/>
        <v>837.5680370584829</v>
      </c>
      <c r="M49" s="7">
        <f t="shared" si="19"/>
        <v>1046.9600463231029</v>
      </c>
      <c r="N49" s="4" t="str">
        <f t="shared" si="0"/>
        <v>mph</v>
      </c>
      <c r="O49" s="7">
        <f>O48*3.28*3600/5280</f>
        <v>38.258417412847407</v>
      </c>
      <c r="Q49" s="7"/>
      <c r="R49" s="3"/>
    </row>
    <row r="50" spans="1:18" hidden="1">
      <c r="A50" s="3" t="s">
        <v>29</v>
      </c>
      <c r="B50" s="8">
        <f>(B37+B39)*1000/365</f>
        <v>8317.4989942188713</v>
      </c>
      <c r="C50" s="8">
        <f t="shared" ref="C50:M50" si="20">(C37+C39)*1000/365</f>
        <v>258.73024916104936</v>
      </c>
      <c r="D50" s="8">
        <f t="shared" si="20"/>
        <v>41.596073091296333</v>
      </c>
      <c r="E50" s="8">
        <f t="shared" si="20"/>
        <v>12.108911513815878</v>
      </c>
      <c r="F50" s="8">
        <f t="shared" si="20"/>
        <v>4.7603671723574132</v>
      </c>
      <c r="G50" s="8">
        <f t="shared" si="20"/>
        <v>2.2628718462779775</v>
      </c>
      <c r="H50" s="8">
        <f t="shared" si="20"/>
        <v>40080.584485037587</v>
      </c>
      <c r="I50" s="8">
        <f t="shared" si="20"/>
        <v>405313.66047474789</v>
      </c>
      <c r="J50" s="8">
        <f t="shared" si="20"/>
        <v>1500817.2613150957</v>
      </c>
      <c r="K50" s="8">
        <f t="shared" si="20"/>
        <v>8358928.7732005026</v>
      </c>
      <c r="L50" s="8">
        <f t="shared" si="20"/>
        <v>25251042.519681983</v>
      </c>
      <c r="M50" s="8">
        <f t="shared" si="20"/>
        <v>99897830.041656345</v>
      </c>
      <c r="N50" s="4" t="str">
        <f t="shared" si="0"/>
        <v>steel production tons per day years</v>
      </c>
      <c r="O50" s="8">
        <f>(O37+O39)*1000/365</f>
        <v>3.2749526051054287</v>
      </c>
      <c r="Q50" s="8"/>
      <c r="R50" s="3"/>
    </row>
    <row r="51" spans="1:18" hidden="1">
      <c r="A51" s="3" t="s">
        <v>30</v>
      </c>
      <c r="B51" s="8">
        <f>(B40/0.7)</f>
        <v>0</v>
      </c>
      <c r="C51" s="8">
        <f t="shared" ref="C51:M51" si="21">(C40/0.7)</f>
        <v>0</v>
      </c>
      <c r="D51" s="8">
        <f t="shared" si="21"/>
        <v>0</v>
      </c>
      <c r="E51" s="8">
        <f t="shared" si="21"/>
        <v>0</v>
      </c>
      <c r="F51" s="8">
        <f t="shared" si="21"/>
        <v>0</v>
      </c>
      <c r="G51" s="8">
        <f t="shared" si="21"/>
        <v>0</v>
      </c>
      <c r="H51" s="8">
        <f t="shared" si="21"/>
        <v>0</v>
      </c>
      <c r="I51" s="8">
        <f t="shared" si="21"/>
        <v>0</v>
      </c>
      <c r="J51" s="8">
        <f t="shared" si="21"/>
        <v>0</v>
      </c>
      <c r="K51" s="8">
        <f t="shared" si="21"/>
        <v>0</v>
      </c>
      <c r="L51" s="8">
        <f t="shared" si="21"/>
        <v>0</v>
      </c>
      <c r="M51" s="8">
        <f t="shared" si="21"/>
        <v>0</v>
      </c>
      <c r="N51" s="4" t="str">
        <f t="shared" si="0"/>
        <v>kt Ore Mass (to produce required mass of shield as product after extracting volatiles and steel)</v>
      </c>
      <c r="O51" s="8">
        <f>(O40/0.7)</f>
        <v>0</v>
      </c>
    </row>
    <row r="52" spans="1:18" hidden="1">
      <c r="A52" s="3" t="s">
        <v>31</v>
      </c>
      <c r="B52" s="8">
        <f>1000*B43/365</f>
        <v>18120.746334978263</v>
      </c>
      <c r="C52" s="8">
        <f t="shared" ref="C52:M52" si="22">1000*C43/365</f>
        <v>524.85038470897246</v>
      </c>
      <c r="D52" s="8">
        <f t="shared" si="22"/>
        <v>81.485086670052425</v>
      </c>
      <c r="E52" s="8">
        <f t="shared" si="22"/>
        <v>23.326063372287017</v>
      </c>
      <c r="F52" s="8">
        <f t="shared" si="22"/>
        <v>9.0887369653315471</v>
      </c>
      <c r="G52" s="8">
        <f t="shared" si="22"/>
        <v>4.2805129408356404</v>
      </c>
      <c r="H52" s="8">
        <f t="shared" si="22"/>
        <v>89238.763018266662</v>
      </c>
      <c r="I52" s="8">
        <f t="shared" si="22"/>
        <v>917066.42893442581</v>
      </c>
      <c r="J52" s="8">
        <f t="shared" si="22"/>
        <v>3400056.462280238</v>
      </c>
      <c r="K52" s="8">
        <f t="shared" si="22"/>
        <v>18798736.91588828</v>
      </c>
      <c r="L52" s="8">
        <f t="shared" si="22"/>
        <v>56152738.719518602</v>
      </c>
      <c r="M52" s="8">
        <f t="shared" si="22"/>
        <v>216931363.06948316</v>
      </c>
      <c r="N52" s="4" t="str">
        <f t="shared" si="0"/>
        <v>Ore tons per day years to use only slag as shield (resulting in excess steel production)</v>
      </c>
      <c r="O52" s="8">
        <f>1000*O43/365</f>
        <v>6.2353265048071282</v>
      </c>
      <c r="Q52" s="8"/>
    </row>
    <row r="53" spans="1:18" hidden="1">
      <c r="A53" s="3" t="s">
        <v>32</v>
      </c>
      <c r="B53" s="4">
        <f>(B40/3.5-(B37+B39))/25</f>
        <v>-121.4354853155955</v>
      </c>
      <c r="C53" s="4">
        <f t="shared" ref="C53:M53" si="23">(C40/3.5-(C37+C39))/25</f>
        <v>-3.7774616377513213</v>
      </c>
      <c r="D53" s="4">
        <f t="shared" si="23"/>
        <v>-0.60730266713292647</v>
      </c>
      <c r="E53" s="4">
        <f t="shared" si="23"/>
        <v>-0.17679010810171181</v>
      </c>
      <c r="F53" s="4">
        <f t="shared" si="23"/>
        <v>-6.9501360716418242E-2</v>
      </c>
      <c r="G53" s="4">
        <f t="shared" si="23"/>
        <v>-3.303792895565847E-2</v>
      </c>
      <c r="H53" s="4">
        <f t="shared" si="23"/>
        <v>-585.17653348154874</v>
      </c>
      <c r="I53" s="4">
        <f t="shared" si="23"/>
        <v>-5917.5794429313191</v>
      </c>
      <c r="J53" s="4">
        <f t="shared" si="23"/>
        <v>-21911.932015200397</v>
      </c>
      <c r="K53" s="4">
        <f t="shared" si="23"/>
        <v>-122040.36008872735</v>
      </c>
      <c r="L53" s="4">
        <f t="shared" si="23"/>
        <v>-368665.22078735696</v>
      </c>
      <c r="M53" s="4">
        <f t="shared" si="23"/>
        <v>-1458508.3186081827</v>
      </c>
      <c r="N53" s="4" t="str">
        <f t="shared" si="0"/>
        <v>Excess Steel (as steel resulting from production of slag shield, counted as 5 GW SPSs at 25 kt each)</v>
      </c>
      <c r="O53" s="4">
        <f>(O40/3.5-(O37+O39))/25</f>
        <v>-4.781430803453926E-2</v>
      </c>
    </row>
    <row r="54" spans="1:18" hidden="1">
      <c r="A54" s="3" t="s">
        <v>76</v>
      </c>
      <c r="B54" s="4">
        <f>2*((B40/0.7)*1000/(4*3.14*2.6/3))^(1/3)</f>
        <v>0</v>
      </c>
      <c r="C54" s="4">
        <f t="shared" ref="C54:M54" si="24">2*((C40/0.7)*1000/(4*3.14*2.6/3))^(1/3)</f>
        <v>0</v>
      </c>
      <c r="D54" s="4">
        <f t="shared" si="24"/>
        <v>0</v>
      </c>
      <c r="E54" s="4">
        <f t="shared" si="24"/>
        <v>0</v>
      </c>
      <c r="F54" s="4">
        <f t="shared" si="24"/>
        <v>0</v>
      </c>
      <c r="G54" s="4">
        <f t="shared" si="24"/>
        <v>0</v>
      </c>
      <c r="H54" s="4">
        <f t="shared" si="24"/>
        <v>0</v>
      </c>
      <c r="I54" s="4">
        <f t="shared" si="24"/>
        <v>0</v>
      </c>
      <c r="J54" s="4">
        <f t="shared" si="24"/>
        <v>0</v>
      </c>
      <c r="K54" s="4">
        <f t="shared" si="24"/>
        <v>0</v>
      </c>
      <c r="L54" s="4">
        <f t="shared" si="24"/>
        <v>0</v>
      </c>
      <c r="M54" s="4">
        <f t="shared" si="24"/>
        <v>0</v>
      </c>
      <c r="N54" s="4" t="str">
        <f t="shared" si="0"/>
        <v>Min asteroid diameter m</v>
      </c>
      <c r="O54" s="4">
        <f>2*((O40/0.7)*1000/(4*3.14*2.6/3))^(1/3)</f>
        <v>0</v>
      </c>
    </row>
    <row r="55" spans="1:18" hidden="1">
      <c r="A55" s="3" t="s">
        <v>75</v>
      </c>
      <c r="B55" s="12">
        <f>1000*(B37+B39)/B33</f>
        <v>24.163920103990918</v>
      </c>
      <c r="C55" s="12">
        <f t="shared" ref="C55:M55" si="25">1000*(C37+C39)/C33</f>
        <v>12.026571109529359</v>
      </c>
      <c r="D55" s="12">
        <f t="shared" si="25"/>
        <v>9.7884062491421968</v>
      </c>
      <c r="E55" s="12">
        <f t="shared" si="25"/>
        <v>9.0057462304228579</v>
      </c>
      <c r="F55" s="12">
        <f t="shared" si="25"/>
        <v>8.6436088013399104</v>
      </c>
      <c r="G55" s="12">
        <f t="shared" si="25"/>
        <v>8.52</v>
      </c>
      <c r="H55" s="12">
        <f t="shared" si="25"/>
        <v>36.842893759834944</v>
      </c>
      <c r="I55" s="12">
        <f t="shared" si="25"/>
        <v>73.594590419963296</v>
      </c>
      <c r="J55" s="12">
        <f t="shared" si="25"/>
        <v>111.62010208944626</v>
      </c>
      <c r="K55" s="12">
        <f t="shared" si="25"/>
        <v>196.70268022692429</v>
      </c>
      <c r="L55" s="12">
        <f t="shared" si="25"/>
        <v>286.55895315377188</v>
      </c>
      <c r="M55" s="12">
        <f t="shared" si="25"/>
        <v>464.35558292057999</v>
      </c>
      <c r="N55" s="4" t="str">
        <f t="shared" si="0"/>
        <v>hab steel per person tonnes</v>
      </c>
      <c r="O55" s="12">
        <f>1000*(O37+O39)/O33</f>
        <v>8.5371333642388141</v>
      </c>
    </row>
    <row r="56" spans="1:18" hidden="1">
      <c r="A56" s="16" t="s">
        <v>33</v>
      </c>
      <c r="B56" s="7">
        <f t="shared" ref="B56:M56" si="26">FLOOR(LOG(B31,2),1)</f>
        <v>9</v>
      </c>
      <c r="C56" s="7">
        <f t="shared" si="26"/>
        <v>7</v>
      </c>
      <c r="D56" s="7">
        <f t="shared" si="26"/>
        <v>6</v>
      </c>
      <c r="E56" s="7">
        <f t="shared" si="26"/>
        <v>5</v>
      </c>
      <c r="F56" s="7">
        <f t="shared" si="26"/>
        <v>5</v>
      </c>
      <c r="G56" s="7">
        <f t="shared" si="26"/>
        <v>4</v>
      </c>
      <c r="H56" s="7">
        <f t="shared" si="26"/>
        <v>10</v>
      </c>
      <c r="I56" s="7">
        <f t="shared" si="26"/>
        <v>11</v>
      </c>
      <c r="J56" s="7">
        <f t="shared" si="26"/>
        <v>12</v>
      </c>
      <c r="K56" s="7">
        <f t="shared" si="26"/>
        <v>13</v>
      </c>
      <c r="L56" s="7">
        <f t="shared" si="26"/>
        <v>13</v>
      </c>
      <c r="M56" s="7">
        <f t="shared" si="26"/>
        <v>14</v>
      </c>
      <c r="N56" s="7" t="str">
        <f t="shared" si="0"/>
        <v>Levels (work/live/play)</v>
      </c>
      <c r="O56" s="7">
        <f>FLOOR(LOG(O31,2),1)</f>
        <v>4</v>
      </c>
      <c r="P56" s="12"/>
      <c r="Q56" s="8"/>
    </row>
    <row r="57" spans="1:18" hidden="1">
      <c r="A57" s="3" t="s">
        <v>74</v>
      </c>
      <c r="B57" s="7">
        <f>B62*B56/B33</f>
        <v>360</v>
      </c>
      <c r="C57" s="7">
        <f t="shared" ref="C57:M57" si="27">C62*C56/C33</f>
        <v>280</v>
      </c>
      <c r="D57" s="7">
        <f t="shared" si="27"/>
        <v>239.99999999999997</v>
      </c>
      <c r="E57" s="7">
        <f t="shared" si="27"/>
        <v>200.00000000000003</v>
      </c>
      <c r="F57" s="7">
        <f t="shared" si="27"/>
        <v>200</v>
      </c>
      <c r="G57" s="7">
        <f t="shared" si="27"/>
        <v>160</v>
      </c>
      <c r="H57" s="7">
        <f t="shared" si="27"/>
        <v>400</v>
      </c>
      <c r="I57" s="7">
        <f t="shared" si="27"/>
        <v>440</v>
      </c>
      <c r="J57" s="7">
        <f t="shared" si="27"/>
        <v>480</v>
      </c>
      <c r="K57" s="7">
        <f t="shared" si="27"/>
        <v>520</v>
      </c>
      <c r="L57" s="7">
        <f t="shared" si="27"/>
        <v>520</v>
      </c>
      <c r="M57" s="7">
        <f t="shared" si="27"/>
        <v>560</v>
      </c>
      <c r="N57" s="4" t="str">
        <f t="shared" si="0"/>
        <v>Area per person m^2</v>
      </c>
      <c r="O57" s="7">
        <f>O62*O56/O33</f>
        <v>160</v>
      </c>
      <c r="Q57" s="4"/>
      <c r="R57" s="4"/>
    </row>
    <row r="58" spans="1:18" hidden="1">
      <c r="A58" s="3" t="s">
        <v>73</v>
      </c>
      <c r="B58" s="4">
        <f>3.14159*B35</f>
        <v>5394.4846144865924</v>
      </c>
      <c r="C58" s="4">
        <f t="shared" ref="C58:M58" si="28">3.14159*C35</f>
        <v>1229.2407336216481</v>
      </c>
      <c r="D58" s="4">
        <f t="shared" si="28"/>
        <v>473.72357938739907</v>
      </c>
      <c r="E58" s="4">
        <f t="shared" si="28"/>
        <v>225.62884340541203</v>
      </c>
      <c r="F58" s="4">
        <f t="shared" si="28"/>
        <v>99.163563779463658</v>
      </c>
      <c r="G58" s="4">
        <f t="shared" si="28"/>
        <v>55.599094846849773</v>
      </c>
      <c r="H58" s="4">
        <f t="shared" si="28"/>
        <v>9740.9911901983851</v>
      </c>
      <c r="I58" s="4">
        <f t="shared" si="28"/>
        <v>22206.256457946369</v>
      </c>
      <c r="J58" s="4">
        <f t="shared" si="28"/>
        <v>34827.651700541181</v>
      </c>
      <c r="K58" s="4">
        <f t="shared" si="28"/>
        <v>62125.264578739909</v>
      </c>
      <c r="L58" s="4">
        <f t="shared" si="28"/>
        <v>89604.140151785468</v>
      </c>
      <c r="M58" s="4">
        <f t="shared" si="28"/>
        <v>140165.11928216473</v>
      </c>
      <c r="N58" s="4" t="str">
        <f t="shared" si="0"/>
        <v>Park Circumference m</v>
      </c>
      <c r="O58" s="4">
        <f>3.14159*O35</f>
        <v>87.107892953780024</v>
      </c>
      <c r="Q58" s="17"/>
      <c r="R58" s="17"/>
    </row>
    <row r="59" spans="1:18" hidden="1">
      <c r="A59" s="3" t="s">
        <v>64</v>
      </c>
      <c r="B59" s="8">
        <f>(3.14159*B31^2)*B32</f>
        <v>2248937430.8636746</v>
      </c>
      <c r="C59" s="8">
        <f t="shared" ref="C59:M59" si="29">(3.14159*C31^2)*C32</f>
        <v>35139647.357244916</v>
      </c>
      <c r="D59" s="8">
        <f t="shared" si="29"/>
        <v>3084962.1822546972</v>
      </c>
      <c r="E59" s="8">
        <f t="shared" si="29"/>
        <v>549056.98995695182</v>
      </c>
      <c r="F59" s="8">
        <f t="shared" si="29"/>
        <v>143931.9955752751</v>
      </c>
      <c r="G59" s="8">
        <f t="shared" si="29"/>
        <v>48202.534097729644</v>
      </c>
      <c r="H59" s="8">
        <f t="shared" si="29"/>
        <v>12636005098.51524</v>
      </c>
      <c r="I59" s="8">
        <f t="shared" si="29"/>
        <v>143931995575.27518</v>
      </c>
      <c r="J59" s="8">
        <f t="shared" si="29"/>
        <v>549056989956.95081</v>
      </c>
      <c r="K59" s="8">
        <f t="shared" si="29"/>
        <v>3084962182254.6968</v>
      </c>
      <c r="L59" s="8">
        <f t="shared" si="29"/>
        <v>9211647716817.6113</v>
      </c>
      <c r="M59" s="8">
        <f t="shared" si="29"/>
        <v>35139647357244.852</v>
      </c>
      <c r="N59" s="4" t="str">
        <f t="shared" si="0"/>
        <v>Volume m^3</v>
      </c>
      <c r="O59" s="8">
        <f>(3.14159*O31^2)*O32</f>
        <v>83671.731056951932</v>
      </c>
      <c r="Q59" s="17"/>
      <c r="R59" s="17"/>
    </row>
    <row r="60" spans="1:18" hidden="1">
      <c r="A60" s="3" t="s">
        <v>34</v>
      </c>
      <c r="B60" s="18">
        <f>B59/B33</f>
        <v>17900.251893269404</v>
      </c>
      <c r="C60" s="18">
        <f t="shared" ref="C60:M60" si="30">C59/C33</f>
        <v>4475.062973317351</v>
      </c>
      <c r="D60" s="18">
        <f t="shared" si="30"/>
        <v>1988.9168770299332</v>
      </c>
      <c r="E60" s="18">
        <f t="shared" si="30"/>
        <v>1118.7657433293377</v>
      </c>
      <c r="F60" s="18">
        <f t="shared" si="30"/>
        <v>716.01007573077584</v>
      </c>
      <c r="G60" s="18">
        <f t="shared" si="30"/>
        <v>497.22921925748329</v>
      </c>
      <c r="H60" s="18">
        <f t="shared" si="30"/>
        <v>31822.670032478931</v>
      </c>
      <c r="I60" s="18">
        <f t="shared" si="30"/>
        <v>71601.007573077615</v>
      </c>
      <c r="J60" s="18">
        <f t="shared" si="30"/>
        <v>111876.57433293371</v>
      </c>
      <c r="K60" s="18">
        <f t="shared" si="30"/>
        <v>198891.68770299328</v>
      </c>
      <c r="L60" s="18">
        <f t="shared" si="30"/>
        <v>286404.03029231046</v>
      </c>
      <c r="M60" s="18">
        <f t="shared" si="30"/>
        <v>447506.29733173485</v>
      </c>
      <c r="N60" s="4" t="str">
        <f t="shared" si="0"/>
        <v>volume per person (m^3, min 64 food, 30 living, 10 work, 10 common/rec, 120 total)</v>
      </c>
      <c r="O60" s="18">
        <f>O59/O33</f>
        <v>597.57571004388535</v>
      </c>
    </row>
    <row r="61" spans="1:18" hidden="1">
      <c r="A61" s="3" t="s">
        <v>70</v>
      </c>
      <c r="B61" s="8">
        <f>2*3.14*B31^2</f>
        <v>5025487.7848043879</v>
      </c>
      <c r="C61" s="8">
        <f>2*3.14*C31^2</f>
        <v>314092.98655027425</v>
      </c>
      <c r="D61" s="8">
        <f t="shared" ref="D61:O61" si="31">2*3.14*D31^2</f>
        <v>62043.059071659096</v>
      </c>
      <c r="E61" s="8">
        <f t="shared" si="31"/>
        <v>19630.81165939214</v>
      </c>
      <c r="F61" s="8">
        <f t="shared" si="31"/>
        <v>8040.7804556870169</v>
      </c>
      <c r="G61" s="8">
        <f t="shared" si="31"/>
        <v>3877.6911919786935</v>
      </c>
      <c r="H61" s="8">
        <f t="shared" si="31"/>
        <v>15883023.122344729</v>
      </c>
      <c r="I61" s="8">
        <f t="shared" si="31"/>
        <v>80407804.556870207</v>
      </c>
      <c r="J61" s="8">
        <f t="shared" si="31"/>
        <v>196308116.59392115</v>
      </c>
      <c r="K61" s="8">
        <f t="shared" si="31"/>
        <v>620430590.71659088</v>
      </c>
      <c r="L61" s="8">
        <f t="shared" si="31"/>
        <v>1286524872.9099233</v>
      </c>
      <c r="M61" s="8">
        <f t="shared" si="31"/>
        <v>3140929865.5027385</v>
      </c>
      <c r="N61" s="4" t="str">
        <f t="shared" si="0"/>
        <v>End cap area m^2</v>
      </c>
      <c r="O61" s="8">
        <f t="shared" si="31"/>
        <v>5600.7451207015874</v>
      </c>
    </row>
    <row r="62" spans="1:18" hidden="1">
      <c r="A62" s="3" t="s">
        <v>71</v>
      </c>
      <c r="B62" s="8">
        <f>3.14*2*B31*B32</f>
        <v>5025487.784804387</v>
      </c>
      <c r="C62" s="8">
        <f>3.14*2*C31*C32</f>
        <v>314092.98655027419</v>
      </c>
      <c r="D62" s="8">
        <f t="shared" ref="D62:M62" si="32">3.14*2*D31*D32</f>
        <v>62043.059071659096</v>
      </c>
      <c r="E62" s="8">
        <f t="shared" si="32"/>
        <v>19630.811659392137</v>
      </c>
      <c r="F62" s="8">
        <f t="shared" si="32"/>
        <v>8040.7804556870178</v>
      </c>
      <c r="G62" s="8">
        <f t="shared" si="32"/>
        <v>3877.6911919786935</v>
      </c>
      <c r="H62" s="8">
        <f t="shared" si="32"/>
        <v>15883023.122344729</v>
      </c>
      <c r="I62" s="8">
        <f t="shared" si="32"/>
        <v>80407804.556870192</v>
      </c>
      <c r="J62" s="8">
        <f t="shared" si="32"/>
        <v>196308116.59392112</v>
      </c>
      <c r="K62" s="8">
        <f t="shared" si="32"/>
        <v>620430590.716591</v>
      </c>
      <c r="L62" s="8">
        <f t="shared" si="32"/>
        <v>1286524872.9099231</v>
      </c>
      <c r="M62" s="8">
        <f t="shared" si="32"/>
        <v>3140929865.502738</v>
      </c>
      <c r="N62" s="4" t="str">
        <f t="shared" si="0"/>
        <v>Cylinder area m^2</v>
      </c>
      <c r="O62" s="8">
        <f>3.14*2*O31*O32</f>
        <v>5600.7451207015865</v>
      </c>
    </row>
    <row r="63" spans="1:18">
      <c r="A63" s="3" t="s">
        <v>72</v>
      </c>
      <c r="B63" s="5">
        <f>SIN($A20*3.14159/180)*3.14159*MAX(B31,B47)^2+COS($A20*3.14159/180)*2*B31*B32</f>
        <v>2977355.5283439071</v>
      </c>
      <c r="C63" s="5">
        <f t="shared" ref="C63:M63" si="33">SIN($A20*3.14159/180)*3.14159*MAX(C31,C47)^2+COS($A20*3.14159/180)*2*C31*C32</f>
        <v>186084.72052149419</v>
      </c>
      <c r="D63" s="5">
        <f t="shared" si="33"/>
        <v>36757.475658566749</v>
      </c>
      <c r="E63" s="5">
        <f t="shared" si="33"/>
        <v>11630.295032593387</v>
      </c>
      <c r="F63" s="5">
        <f t="shared" si="33"/>
        <v>4763.7688453502496</v>
      </c>
      <c r="G63" s="5">
        <f t="shared" si="33"/>
        <v>2297.3422286604218</v>
      </c>
      <c r="H63" s="5">
        <f t="shared" si="33"/>
        <v>9409913.7685930878</v>
      </c>
      <c r="I63" s="5">
        <f t="shared" si="33"/>
        <v>47637688.453502513</v>
      </c>
      <c r="J63" s="5">
        <f t="shared" si="33"/>
        <v>116302950.32593372</v>
      </c>
      <c r="K63" s="5">
        <f t="shared" si="33"/>
        <v>367574756.58566749</v>
      </c>
      <c r="L63" s="5">
        <f t="shared" si="33"/>
        <v>762203015.25604022</v>
      </c>
      <c r="M63" s="5">
        <f t="shared" si="33"/>
        <v>1860847205.2149396</v>
      </c>
      <c r="N63" s="4" t="str">
        <f t="shared" si="0"/>
        <v>Drag cross section m^2</v>
      </c>
      <c r="O63" s="5">
        <f>SIN($A20*3.14159/180)*3.14159*MAX(O31,O47)^2+COS($A20*3.14159/180)*2*O31*O32</f>
        <v>3318.1673425587896</v>
      </c>
    </row>
    <row r="64" spans="1:18">
      <c r="A64" s="3" t="s">
        <v>62</v>
      </c>
      <c r="B64" s="26">
        <f>1000*B43/B63</f>
        <v>2.2214587237910441</v>
      </c>
      <c r="C64" s="26">
        <f t="shared" ref="C64:M64" si="34">1000*C43/C63</f>
        <v>1.029479421426474</v>
      </c>
      <c r="D64" s="26">
        <f t="shared" si="34"/>
        <v>0.80914306822474658</v>
      </c>
      <c r="E64" s="26">
        <f t="shared" si="34"/>
        <v>0.73205478511289834</v>
      </c>
      <c r="F64" s="26">
        <f t="shared" si="34"/>
        <v>0.69637908556037587</v>
      </c>
      <c r="G64" s="26">
        <f t="shared" si="34"/>
        <v>0.68008466649569899</v>
      </c>
      <c r="H64" s="26">
        <f t="shared" si="34"/>
        <v>3.4614715185150224</v>
      </c>
      <c r="I64" s="26">
        <f t="shared" si="34"/>
        <v>7.0265635766055903</v>
      </c>
      <c r="J64" s="26">
        <f t="shared" si="34"/>
        <v>10.670585786984622</v>
      </c>
      <c r="K64" s="26">
        <f t="shared" si="34"/>
        <v>18.667057112503485</v>
      </c>
      <c r="L64" s="26">
        <f t="shared" si="34"/>
        <v>26.890145043232781</v>
      </c>
      <c r="M64" s="26">
        <f t="shared" si="34"/>
        <v>42.550483080213766</v>
      </c>
      <c r="N64" s="4" t="str">
        <f t="shared" si="0"/>
        <v>Drag Mass/m^2 (tonnes)</v>
      </c>
      <c r="O64" s="26">
        <f>1000*O43/O63</f>
        <v>0.68588890773048117</v>
      </c>
    </row>
    <row r="65" spans="1:15">
      <c r="A65" s="3" t="s">
        <v>81</v>
      </c>
      <c r="B65" s="8">
        <f t="shared" ref="B65:M65" si="35">FLOOR(1+B43*1000/$A$24,1)</f>
        <v>124794</v>
      </c>
      <c r="C65" s="8">
        <f t="shared" si="35"/>
        <v>3615</v>
      </c>
      <c r="D65" s="8">
        <f t="shared" si="35"/>
        <v>562</v>
      </c>
      <c r="E65" s="8">
        <f t="shared" si="35"/>
        <v>161</v>
      </c>
      <c r="F65" s="8">
        <f t="shared" si="35"/>
        <v>63</v>
      </c>
      <c r="G65" s="8">
        <f t="shared" si="35"/>
        <v>30</v>
      </c>
      <c r="H65" s="8">
        <f t="shared" si="35"/>
        <v>614569</v>
      </c>
      <c r="I65" s="8">
        <f t="shared" si="35"/>
        <v>6315647</v>
      </c>
      <c r="J65" s="8">
        <f t="shared" si="35"/>
        <v>23415484</v>
      </c>
      <c r="K65" s="8">
        <f t="shared" si="35"/>
        <v>129463000</v>
      </c>
      <c r="L65" s="8">
        <f t="shared" si="35"/>
        <v>386712258</v>
      </c>
      <c r="M65" s="8">
        <f t="shared" si="35"/>
        <v>1493961274</v>
      </c>
      <c r="N65" s="4" t="str">
        <f t="shared" si="0"/>
        <v>Required Launches</v>
      </c>
      <c r="O65" s="8">
        <f>FLOOR(1+O43*1000/$A$24,1)</f>
        <v>43</v>
      </c>
    </row>
    <row r="66" spans="1:15" hidden="1">
      <c r="A66" s="3" t="s">
        <v>112</v>
      </c>
      <c r="B66" s="29">
        <f t="shared" ref="B66:M66" si="36">B65*$A$25/1000</f>
        <v>11231.46</v>
      </c>
      <c r="C66" s="29">
        <f t="shared" si="36"/>
        <v>325.35000000000002</v>
      </c>
      <c r="D66" s="29">
        <f t="shared" si="36"/>
        <v>50.58</v>
      </c>
      <c r="E66" s="29">
        <f t="shared" si="36"/>
        <v>14.49</v>
      </c>
      <c r="F66" s="29">
        <f t="shared" si="36"/>
        <v>5.67</v>
      </c>
      <c r="G66" s="29">
        <f t="shared" si="36"/>
        <v>2.7</v>
      </c>
      <c r="H66" s="29">
        <f t="shared" si="36"/>
        <v>55311.21</v>
      </c>
      <c r="I66" s="29">
        <f t="shared" si="36"/>
        <v>568408.23</v>
      </c>
      <c r="J66" s="29">
        <f t="shared" si="36"/>
        <v>2107393.56</v>
      </c>
      <c r="K66" s="29">
        <f t="shared" si="36"/>
        <v>11651670</v>
      </c>
      <c r="L66" s="29">
        <f t="shared" si="36"/>
        <v>34804103.219999999</v>
      </c>
      <c r="M66" s="29">
        <f t="shared" si="36"/>
        <v>134456514.66</v>
      </c>
      <c r="N66" s="4" t="str">
        <f t="shared" si="0"/>
        <v>Total launch cost $B</v>
      </c>
      <c r="O66" s="29">
        <f>O65*$A$25/1000</f>
        <v>3.87</v>
      </c>
    </row>
    <row r="67" spans="1:15" hidden="1">
      <c r="A67" s="3" t="s">
        <v>113</v>
      </c>
      <c r="B67" s="30">
        <f>B43*$A$26/1000</f>
        <v>11231.443718944072</v>
      </c>
      <c r="C67" s="30">
        <f t="shared" ref="C67:M67" si="37">C43*$A$26/1000</f>
        <v>325.30821014508956</v>
      </c>
      <c r="D67" s="30">
        <f t="shared" si="37"/>
        <v>50.505379190777788</v>
      </c>
      <c r="E67" s="30">
        <f t="shared" si="37"/>
        <v>14.457758146785443</v>
      </c>
      <c r="F67" s="30">
        <f t="shared" si="37"/>
        <v>5.6333020624743639</v>
      </c>
      <c r="G67" s="30">
        <f t="shared" si="37"/>
        <v>2.6531103793669963</v>
      </c>
      <c r="H67" s="30">
        <f t="shared" si="37"/>
        <v>55311.195568869058</v>
      </c>
      <c r="I67" s="30">
        <f t="shared" si="37"/>
        <v>568408.15453765832</v>
      </c>
      <c r="J67" s="30">
        <f t="shared" si="37"/>
        <v>2107393.4865265246</v>
      </c>
      <c r="K67" s="30">
        <f t="shared" si="37"/>
        <v>11651669.95635717</v>
      </c>
      <c r="L67" s="30">
        <f t="shared" si="37"/>
        <v>34804103.149739362</v>
      </c>
      <c r="M67" s="30">
        <f t="shared" si="37"/>
        <v>134456514.65721741</v>
      </c>
      <c r="N67" s="4" t="str">
        <f t="shared" si="0"/>
        <v>Materials cost $B</v>
      </c>
      <c r="O67" s="30">
        <f>O43*$A$26/1000</f>
        <v>3.8647259562813989</v>
      </c>
    </row>
    <row r="68" spans="1:15" hidden="1">
      <c r="A68" s="3" t="s">
        <v>114</v>
      </c>
      <c r="B68" s="30">
        <f t="shared" ref="B68:M68" si="38">B67*$A$27</f>
        <v>11231.443718944072</v>
      </c>
      <c r="C68" s="30">
        <f t="shared" si="38"/>
        <v>325.30821014508956</v>
      </c>
      <c r="D68" s="30">
        <f t="shared" si="38"/>
        <v>50.505379190777788</v>
      </c>
      <c r="E68" s="30">
        <f t="shared" si="38"/>
        <v>14.457758146785443</v>
      </c>
      <c r="F68" s="30">
        <f t="shared" si="38"/>
        <v>5.6333020624743639</v>
      </c>
      <c r="G68" s="30">
        <f t="shared" si="38"/>
        <v>2.6531103793669963</v>
      </c>
      <c r="H68" s="30">
        <f t="shared" si="38"/>
        <v>55311.195568869058</v>
      </c>
      <c r="I68" s="30">
        <f t="shared" si="38"/>
        <v>568408.15453765832</v>
      </c>
      <c r="J68" s="30">
        <f t="shared" si="38"/>
        <v>2107393.4865265246</v>
      </c>
      <c r="K68" s="30">
        <f t="shared" si="38"/>
        <v>11651669.95635717</v>
      </c>
      <c r="L68" s="30">
        <f t="shared" si="38"/>
        <v>34804103.149739362</v>
      </c>
      <c r="M68" s="30">
        <f t="shared" si="38"/>
        <v>134456514.65721741</v>
      </c>
      <c r="N68" s="4" t="str">
        <f t="shared" si="0"/>
        <v>Engineering cost $B</v>
      </c>
      <c r="O68" s="30">
        <f>O67*$A$27</f>
        <v>3.8647259562813989</v>
      </c>
    </row>
    <row r="69" spans="1:15" hidden="1">
      <c r="A69" s="3" t="s">
        <v>115</v>
      </c>
      <c r="B69" s="30">
        <f>B66+B67+B68</f>
        <v>33694.347437888144</v>
      </c>
      <c r="C69" s="30">
        <f t="shared" ref="C69:H69" si="39">C66+C67+C68</f>
        <v>975.96642029017914</v>
      </c>
      <c r="D69" s="30">
        <f t="shared" si="39"/>
        <v>151.59075838155559</v>
      </c>
      <c r="E69" s="30">
        <f t="shared" si="39"/>
        <v>43.405516293570884</v>
      </c>
      <c r="F69" s="30">
        <f t="shared" si="39"/>
        <v>16.93660412494873</v>
      </c>
      <c r="G69" s="30">
        <f t="shared" si="39"/>
        <v>8.006220758733992</v>
      </c>
      <c r="H69" s="30">
        <f t="shared" si="39"/>
        <v>165933.60113773812</v>
      </c>
      <c r="I69" s="30">
        <f>I66+I67+I68</f>
        <v>1705224.5390753164</v>
      </c>
      <c r="J69" s="30">
        <f>J66+J67+J68</f>
        <v>6322180.5330530498</v>
      </c>
      <c r="K69" s="30">
        <f>K66+K67+K68</f>
        <v>34955009.91271434</v>
      </c>
      <c r="L69" s="30">
        <f>L66+L67+L68</f>
        <v>104412309.51947871</v>
      </c>
      <c r="M69" s="30">
        <f>M66+M67+M68</f>
        <v>403369543.97443485</v>
      </c>
      <c r="N69" s="4" t="str">
        <f t="shared" si="0"/>
        <v>TOTAL COST $B</v>
      </c>
      <c r="O69" s="30">
        <f>O66+O67+O68</f>
        <v>11.599451912562799</v>
      </c>
    </row>
    <row r="70" spans="1:15" hidden="1">
      <c r="A70" s="3" t="s">
        <v>116</v>
      </c>
      <c r="B70" s="36">
        <f t="shared" ref="B70:H70" si="40">B69/B33</f>
        <v>0.26818767754063633</v>
      </c>
      <c r="C70" s="36">
        <f t="shared" si="40"/>
        <v>0.12429012580119672</v>
      </c>
      <c r="D70" s="36">
        <f t="shared" si="40"/>
        <v>9.7732613865135057E-2</v>
      </c>
      <c r="E70" s="36">
        <f t="shared" si="40"/>
        <v>8.8443650821343422E-2</v>
      </c>
      <c r="F70" s="36">
        <f t="shared" si="40"/>
        <v>8.4253533438883768E-2</v>
      </c>
      <c r="G70" s="36">
        <f t="shared" si="40"/>
        <v>8.2587502329174473E-2</v>
      </c>
      <c r="H70" s="36">
        <f t="shared" si="40"/>
        <v>0.4178892138091711</v>
      </c>
      <c r="I70" s="36">
        <f>I69/I33</f>
        <v>0.84828807276749296</v>
      </c>
      <c r="J70" s="36">
        <f>J69/J33</f>
        <v>1.2882158196506934</v>
      </c>
      <c r="K70" s="36">
        <f>K69/K33</f>
        <v>2.2535968042672851</v>
      </c>
      <c r="L70" s="36">
        <f>L69/L33</f>
        <v>3.2463362883397346</v>
      </c>
      <c r="M70" s="36">
        <f>M69/M33</f>
        <v>5.136944296715412</v>
      </c>
      <c r="N70" s="4" t="str">
        <f t="shared" si="0"/>
        <v>Cost per resident $B</v>
      </c>
      <c r="O70" s="36">
        <f>O69/O33</f>
        <v>8.2842205189367898E-2</v>
      </c>
    </row>
    <row r="71" spans="1:15">
      <c r="A71" s="3"/>
    </row>
    <row r="72" spans="1:15">
      <c r="B72" s="30"/>
      <c r="C72" s="30"/>
      <c r="D72" s="30"/>
      <c r="E72" s="30"/>
      <c r="F72" s="30"/>
      <c r="G72" s="30"/>
      <c r="H72" s="30"/>
    </row>
    <row r="73" spans="1:15">
      <c r="B73" s="31"/>
      <c r="C73" s="31"/>
      <c r="D73" s="31"/>
      <c r="E73" s="31"/>
      <c r="F73" s="31"/>
      <c r="G73" s="31"/>
      <c r="H73" s="31"/>
    </row>
  </sheetData>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3"/>
  <sheetViews>
    <sheetView workbookViewId="0">
      <selection activeCell="A17" sqref="A17"/>
    </sheetView>
  </sheetViews>
  <sheetFormatPr baseColWidth="10" defaultColWidth="8.83203125" defaultRowHeight="14" x14ac:dyDescent="0"/>
  <cols>
    <col min="1" max="1" width="23.83203125" customWidth="1"/>
    <col min="2" max="2" width="11.5" customWidth="1"/>
    <col min="3" max="3" width="9.6640625" customWidth="1"/>
    <col min="4" max="4" width="9.6640625" bestFit="1" customWidth="1"/>
    <col min="5" max="6" width="10.6640625" bestFit="1" customWidth="1"/>
    <col min="7" max="7" width="11.6640625" customWidth="1"/>
  </cols>
  <sheetData>
    <row r="1" spans="1:2">
      <c r="A1" s="1" t="s">
        <v>0</v>
      </c>
    </row>
    <row r="2" spans="1:2">
      <c r="A2" s="1" t="s">
        <v>42</v>
      </c>
    </row>
    <row r="3" spans="1:2">
      <c r="A3" s="37" t="s">
        <v>129</v>
      </c>
    </row>
    <row r="4" spans="1:2">
      <c r="A4" s="20">
        <v>0</v>
      </c>
      <c r="B4" t="s">
        <v>53</v>
      </c>
    </row>
    <row r="5" spans="1:2" hidden="1">
      <c r="A5">
        <f>A4/2.5</f>
        <v>0</v>
      </c>
      <c r="B5" t="s">
        <v>54</v>
      </c>
    </row>
    <row r="6" spans="1:2">
      <c r="A6" s="20">
        <v>40</v>
      </c>
      <c r="B6" t="s">
        <v>88</v>
      </c>
    </row>
    <row r="7" spans="1:2">
      <c r="A7" s="20">
        <v>2400</v>
      </c>
      <c r="B7" t="s">
        <v>55</v>
      </c>
    </row>
    <row r="8" spans="1:2">
      <c r="A8" s="20">
        <v>1.3</v>
      </c>
      <c r="B8" t="s">
        <v>56</v>
      </c>
    </row>
    <row r="9" spans="1:2" hidden="1">
      <c r="A9" s="38">
        <f>(1+A13)*(10+A4+A11+A10/A6)</f>
        <v>41.5</v>
      </c>
      <c r="B9" t="s">
        <v>57</v>
      </c>
    </row>
    <row r="10" spans="1:2">
      <c r="A10" s="20">
        <v>7</v>
      </c>
      <c r="B10" t="s">
        <v>58</v>
      </c>
    </row>
    <row r="11" spans="1:2">
      <c r="A11" s="20">
        <v>0.2</v>
      </c>
      <c r="B11" t="s">
        <v>89</v>
      </c>
    </row>
    <row r="12" spans="1:2" hidden="1">
      <c r="A12" s="23">
        <v>0.28000000000000003</v>
      </c>
      <c r="B12" t="s">
        <v>41</v>
      </c>
    </row>
    <row r="13" spans="1:2">
      <c r="A13" s="23">
        <v>3</v>
      </c>
      <c r="B13" t="s">
        <v>90</v>
      </c>
    </row>
    <row r="14" spans="1:2" hidden="1">
      <c r="A14">
        <v>5.0000000000000001E-3</v>
      </c>
      <c r="B14" t="s">
        <v>91</v>
      </c>
    </row>
    <row r="15" spans="1:2" hidden="1">
      <c r="A15" s="3">
        <v>55</v>
      </c>
      <c r="B15" t="s">
        <v>92</v>
      </c>
    </row>
    <row r="16" spans="1:2" hidden="1">
      <c r="A16">
        <v>6</v>
      </c>
      <c r="B16" t="s">
        <v>95</v>
      </c>
    </row>
    <row r="17" spans="1:9">
      <c r="A17" s="20">
        <v>53</v>
      </c>
      <c r="B17" t="s">
        <v>99</v>
      </c>
    </row>
    <row r="18" spans="1:9" hidden="1">
      <c r="A18">
        <v>90</v>
      </c>
      <c r="B18" t="s">
        <v>100</v>
      </c>
      <c r="D18" s="28">
        <f>A18/A17</f>
        <v>1.6981132075471699</v>
      </c>
      <c r="E18" t="s">
        <v>101</v>
      </c>
    </row>
    <row r="19" spans="1:9" hidden="1">
      <c r="A19" s="34">
        <f>1000*D18</f>
        <v>1698.1132075471698</v>
      </c>
      <c r="B19" t="s">
        <v>121</v>
      </c>
      <c r="D19" s="28"/>
    </row>
    <row r="20" spans="1:9" hidden="1">
      <c r="A20" s="2">
        <v>1</v>
      </c>
      <c r="B20" t="s">
        <v>87</v>
      </c>
      <c r="D20" s="28"/>
    </row>
    <row r="22" spans="1:9">
      <c r="A22" s="9" t="s">
        <v>42</v>
      </c>
    </row>
    <row r="23" spans="1:9">
      <c r="A23" s="3" t="s">
        <v>16</v>
      </c>
      <c r="B23" s="39">
        <v>1</v>
      </c>
      <c r="C23" s="39">
        <v>2</v>
      </c>
      <c r="D23" s="39">
        <v>3</v>
      </c>
      <c r="E23" s="39">
        <v>4</v>
      </c>
      <c r="F23" s="39">
        <v>5</v>
      </c>
      <c r="G23" s="39">
        <v>6</v>
      </c>
    </row>
    <row r="24" spans="1:9">
      <c r="A24" s="3" t="s">
        <v>103</v>
      </c>
      <c r="B24" s="5">
        <f t="shared" ref="B24:G24" si="0">1/((3.14*B23/30)^2/9.8)</f>
        <v>894.55961702300306</v>
      </c>
      <c r="C24" s="5">
        <f t="shared" si="0"/>
        <v>223.63990425575076</v>
      </c>
      <c r="D24" s="5">
        <f t="shared" si="0"/>
        <v>99.395513002555887</v>
      </c>
      <c r="E24" s="5">
        <f t="shared" si="0"/>
        <v>55.909976063937691</v>
      </c>
      <c r="F24" s="5">
        <f t="shared" si="0"/>
        <v>35.782384680920117</v>
      </c>
      <c r="G24" s="5">
        <f t="shared" si="0"/>
        <v>24.848878250638972</v>
      </c>
    </row>
    <row r="25" spans="1:9" hidden="1">
      <c r="A25" s="3" t="s">
        <v>104</v>
      </c>
      <c r="B25" s="8">
        <f t="shared" ref="B25:G25" si="1">2*3.14*B24</f>
        <v>5617.8343949044593</v>
      </c>
      <c r="C25" s="8">
        <f t="shared" si="1"/>
        <v>1404.4585987261148</v>
      </c>
      <c r="D25" s="8">
        <f t="shared" si="1"/>
        <v>624.20382165605099</v>
      </c>
      <c r="E25" s="8">
        <f t="shared" si="1"/>
        <v>351.1146496815287</v>
      </c>
      <c r="F25" s="8">
        <f t="shared" si="1"/>
        <v>224.71337579617835</v>
      </c>
      <c r="G25" s="8">
        <f t="shared" si="1"/>
        <v>156.05095541401275</v>
      </c>
    </row>
    <row r="26" spans="1:9">
      <c r="A26" s="3" t="s">
        <v>43</v>
      </c>
      <c r="B26" s="40">
        <v>6.9</v>
      </c>
      <c r="C26" s="40">
        <v>6</v>
      </c>
      <c r="D26" s="40">
        <v>5</v>
      </c>
      <c r="E26" s="40">
        <v>4</v>
      </c>
      <c r="F26" s="40">
        <v>3</v>
      </c>
      <c r="G26" s="40">
        <v>2</v>
      </c>
    </row>
    <row r="27" spans="1:9">
      <c r="A27" s="3" t="s">
        <v>105</v>
      </c>
      <c r="B27" s="16">
        <f t="shared" ref="B27:G27" si="2">B24/B26</f>
        <v>129.6463213076816</v>
      </c>
      <c r="C27" s="16">
        <f t="shared" si="2"/>
        <v>37.273317375958463</v>
      </c>
      <c r="D27" s="16">
        <f t="shared" si="2"/>
        <v>19.879102600511178</v>
      </c>
      <c r="E27" s="16">
        <f t="shared" si="2"/>
        <v>13.977494015984423</v>
      </c>
      <c r="F27" s="16">
        <f t="shared" si="2"/>
        <v>11.927461560306705</v>
      </c>
      <c r="G27" s="16">
        <f t="shared" si="2"/>
        <v>12.424439125319486</v>
      </c>
    </row>
    <row r="28" spans="1:9" hidden="1">
      <c r="A28" s="3" t="s">
        <v>106</v>
      </c>
      <c r="B28" s="5">
        <f>3.14159^2*(B24^2-(B24-B27)^2)</f>
        <v>2123388.0938087702</v>
      </c>
      <c r="C28" s="5">
        <f t="shared" ref="C28:G28" si="3">3.14159^2*(C24^2-(C24-C27)^2)</f>
        <v>150830.02097013235</v>
      </c>
      <c r="D28" s="5">
        <f t="shared" si="3"/>
        <v>35102.259425776239</v>
      </c>
      <c r="E28" s="5">
        <f t="shared" si="3"/>
        <v>13497.572899315814</v>
      </c>
      <c r="F28" s="5">
        <f t="shared" si="3"/>
        <v>7020.4518851552448</v>
      </c>
      <c r="G28" s="5">
        <f t="shared" si="3"/>
        <v>4570.606696064614</v>
      </c>
    </row>
    <row r="29" spans="1:9">
      <c r="A29" s="3" t="s">
        <v>44</v>
      </c>
      <c r="B29" s="5">
        <f t="shared" ref="B29:G29" si="4">B28*$A$4/1000</f>
        <v>0</v>
      </c>
      <c r="C29" s="5">
        <f t="shared" si="4"/>
        <v>0</v>
      </c>
      <c r="D29" s="5">
        <f t="shared" si="4"/>
        <v>0</v>
      </c>
      <c r="E29" s="5">
        <f t="shared" si="4"/>
        <v>0</v>
      </c>
      <c r="F29" s="5">
        <f t="shared" si="4"/>
        <v>0</v>
      </c>
      <c r="G29" s="5">
        <f t="shared" si="4"/>
        <v>0</v>
      </c>
    </row>
    <row r="30" spans="1:9" hidden="1">
      <c r="A30" s="3" t="s">
        <v>107</v>
      </c>
      <c r="B30" s="5">
        <f t="shared" ref="B30:G30" si="5">B25*B27</f>
        <v>728331.5630151286</v>
      </c>
      <c r="C30" s="5">
        <f t="shared" si="5"/>
        <v>52348.831091712367</v>
      </c>
      <c r="D30" s="5">
        <f t="shared" si="5"/>
        <v>12408.611814331818</v>
      </c>
      <c r="E30" s="5">
        <f t="shared" si="5"/>
        <v>4907.7029148480342</v>
      </c>
      <c r="F30" s="5">
        <f t="shared" si="5"/>
        <v>2680.2601518956726</v>
      </c>
      <c r="G30" s="5">
        <f t="shared" si="5"/>
        <v>1938.8455959893467</v>
      </c>
      <c r="H30" s="9"/>
      <c r="I30" s="9"/>
    </row>
    <row r="31" spans="1:9">
      <c r="A31" s="3" t="s">
        <v>45</v>
      </c>
      <c r="B31" s="5">
        <f t="shared" ref="B31:G31" si="6">B30/$A$6</f>
        <v>18208.289075378216</v>
      </c>
      <c r="C31" s="5">
        <f t="shared" si="6"/>
        <v>1308.7207772928091</v>
      </c>
      <c r="D31" s="5">
        <f t="shared" si="6"/>
        <v>310.21529535829546</v>
      </c>
      <c r="E31" s="5">
        <f t="shared" si="6"/>
        <v>122.69257287120085</v>
      </c>
      <c r="F31" s="5">
        <f t="shared" si="6"/>
        <v>67.006503797391815</v>
      </c>
      <c r="G31" s="5">
        <f t="shared" si="6"/>
        <v>48.471139899733672</v>
      </c>
      <c r="H31" s="9"/>
      <c r="I31" s="9"/>
    </row>
    <row r="32" spans="1:9">
      <c r="A32" s="3" t="s">
        <v>46</v>
      </c>
      <c r="B32" s="24">
        <f t="shared" ref="B32:E32" si="7">MAX(B28*$A$14*$A$8/1000,(4*3.14^2*$A$8*1000*B24^3/(B26/2))*(($A$9*10000/(B26*2*2)))/($A$7*1000000-$A$8*1000*9.8*B24)/1000000)</f>
        <v>66.967856211059569</v>
      </c>
      <c r="C32" s="24">
        <f>MAX(C28*$A$14*$A$8/1000,(4*3.14^2*$A$8*1000*C24^3/(C26/2))*(($A$9*10000/(C26*2*2)))/($A$7*1000000-$A$8*1000*9.8*C24)/1000000)</f>
        <v>1.3788936529153681</v>
      </c>
      <c r="D32" s="24">
        <f t="shared" si="7"/>
        <v>0.2281646862675456</v>
      </c>
      <c r="E32" s="24">
        <f t="shared" si="7"/>
        <v>8.7734223845552795E-2</v>
      </c>
      <c r="F32" s="24">
        <f>MAX(F28*$A$14*$A$8/1000,(4*3.14^2*$A$8*1000*F24^3/(F26/2))*(($A$9*10000/(F26*2*2)))/($A$7*1000000-$A$8*1000*9.8*F24)/1000000)</f>
        <v>4.5632937253509094E-2</v>
      </c>
      <c r="G32" s="24">
        <f>MAX(G28*$A$14*$A$8/1000,(4*3.14^2*$A$8*1000*G24^3/(G26/2))*(($A$9*10000/(G26*2*2)))/($A$7*1000000-$A$8*1000*9.8*G24)/1000000)</f>
        <v>2.9708943524419992E-2</v>
      </c>
      <c r="H32" s="9"/>
      <c r="I32" s="9"/>
    </row>
    <row r="33" spans="1:8">
      <c r="A33" s="3" t="s">
        <v>108</v>
      </c>
      <c r="B33" s="25">
        <f t="shared" ref="B33:G33" si="8">1000*B32/$A$8/B28</f>
        <v>2.4260160305678048E-2</v>
      </c>
      <c r="C33" s="25">
        <f t="shared" si="8"/>
        <v>7.0323362583736126E-3</v>
      </c>
      <c r="D33" s="25">
        <f t="shared" si="8"/>
        <v>5.0000000000000001E-3</v>
      </c>
      <c r="E33" s="25">
        <f t="shared" si="8"/>
        <v>5.0000000000000001E-3</v>
      </c>
      <c r="F33" s="25">
        <f t="shared" si="8"/>
        <v>5.0000000000000001E-3</v>
      </c>
      <c r="G33" s="25">
        <f t="shared" si="8"/>
        <v>5.0000000000000001E-3</v>
      </c>
      <c r="H33" s="3"/>
    </row>
    <row r="34" spans="1:8">
      <c r="A34" s="3" t="s">
        <v>47</v>
      </c>
      <c r="B34" s="24">
        <f t="shared" ref="B34:G34" si="9">B30*$A$11/1000</f>
        <v>145.66631260302572</v>
      </c>
      <c r="C34" s="24">
        <f t="shared" si="9"/>
        <v>10.469766218342475</v>
      </c>
      <c r="D34" s="24">
        <f t="shared" si="9"/>
        <v>2.4817223628663636</v>
      </c>
      <c r="E34" s="24">
        <f t="shared" si="9"/>
        <v>0.98154058296960689</v>
      </c>
      <c r="F34" s="24">
        <f t="shared" si="9"/>
        <v>0.53605203037913451</v>
      </c>
      <c r="G34" s="24">
        <f t="shared" si="9"/>
        <v>0.38776911919786938</v>
      </c>
    </row>
    <row r="35" spans="1:8">
      <c r="A35" s="3" t="s">
        <v>48</v>
      </c>
      <c r="B35" s="24">
        <f t="shared" ref="B35:G35" si="10">B31*$A$10/1000</f>
        <v>127.45802352764751</v>
      </c>
      <c r="C35" s="24">
        <f t="shared" si="10"/>
        <v>9.161045441049664</v>
      </c>
      <c r="D35" s="24">
        <f t="shared" si="10"/>
        <v>2.1715070675080681</v>
      </c>
      <c r="E35" s="24">
        <f t="shared" si="10"/>
        <v>0.85884801009840606</v>
      </c>
      <c r="F35" s="24">
        <f t="shared" si="10"/>
        <v>0.4690455265817427</v>
      </c>
      <c r="G35" s="24">
        <f t="shared" si="10"/>
        <v>0.33929797929813571</v>
      </c>
    </row>
    <row r="36" spans="1:8">
      <c r="A36" s="3" t="s">
        <v>49</v>
      </c>
      <c r="B36" s="24">
        <f t="shared" ref="B36:G36" si="11">1.2*B43/1000/1000</f>
        <v>82.586836521251172</v>
      </c>
      <c r="C36" s="24">
        <f t="shared" si="11"/>
        <v>1.6865805724326639</v>
      </c>
      <c r="D36" s="24">
        <f t="shared" si="11"/>
        <v>0.20934042499042982</v>
      </c>
      <c r="E36" s="24">
        <f t="shared" si="11"/>
        <v>5.659867332915007E-2</v>
      </c>
      <c r="F36" s="24">
        <f t="shared" si="11"/>
        <v>2.5120850998851574E-2</v>
      </c>
      <c r="G36" s="24">
        <f t="shared" si="11"/>
        <v>1.7036167398309727E-2</v>
      </c>
    </row>
    <row r="37" spans="1:8">
      <c r="A37" s="3" t="s">
        <v>50</v>
      </c>
      <c r="B37" s="24">
        <f t="shared" ref="B37:G37" si="12">(6*(B24*B33*3.14*2*$A$8)+(4*3.14*4^2*$A$8*B33))/1000</f>
        <v>1.069396509690383</v>
      </c>
      <c r="C37" s="24">
        <f t="shared" si="12"/>
        <v>7.8874859775036374E-2</v>
      </c>
      <c r="D37" s="24">
        <f t="shared" si="12"/>
        <v>2.5650189044585988E-2</v>
      </c>
      <c r="E37" s="24">
        <f t="shared" si="12"/>
        <v>1.4999711337579621E-2</v>
      </c>
      <c r="F37" s="24">
        <f t="shared" si="12"/>
        <v>1.0070061656050957E-2</v>
      </c>
      <c r="G37" s="24">
        <f t="shared" si="12"/>
        <v>7.392227261146498E-3</v>
      </c>
    </row>
    <row r="38" spans="1:8">
      <c r="A38" s="3" t="s">
        <v>51</v>
      </c>
      <c r="B38" s="24">
        <f t="shared" ref="B38:G38" si="13">B29+B32+B34+B35+B36+B37</f>
        <v>423.74842537267432</v>
      </c>
      <c r="C38" s="24">
        <f t="shared" si="13"/>
        <v>22.775160744515208</v>
      </c>
      <c r="D38" s="24">
        <f t="shared" si="13"/>
        <v>5.1163847306769927</v>
      </c>
      <c r="E38" s="24">
        <f t="shared" si="13"/>
        <v>1.9997212015802956</v>
      </c>
      <c r="F38" s="24">
        <f t="shared" si="13"/>
        <v>1.0859214068692891</v>
      </c>
      <c r="G38" s="24">
        <f t="shared" si="13"/>
        <v>0.78120443667988126</v>
      </c>
    </row>
    <row r="39" spans="1:8">
      <c r="A39" s="3" t="s">
        <v>52</v>
      </c>
      <c r="B39" s="16">
        <f t="shared" ref="B39:F39" si="14">13203/B38</f>
        <v>31.157637903641408</v>
      </c>
      <c r="C39" s="16">
        <f t="shared" si="14"/>
        <v>579.71050778114011</v>
      </c>
      <c r="D39" s="16">
        <f t="shared" si="14"/>
        <v>2580.5330707124126</v>
      </c>
      <c r="E39" s="16">
        <f t="shared" si="14"/>
        <v>6602.4203721829945</v>
      </c>
      <c r="F39" s="16">
        <f t="shared" si="14"/>
        <v>12158.338454772931</v>
      </c>
      <c r="G39" s="16">
        <f>13203/G38</f>
        <v>16900.825673894979</v>
      </c>
    </row>
    <row r="40" spans="1:8">
      <c r="A40" s="3" t="s">
        <v>97</v>
      </c>
      <c r="B40" s="15">
        <f t="shared" ref="B40:G40" si="15">B38*1000/B31</f>
        <v>23.272281301030056</v>
      </c>
      <c r="C40" s="15">
        <f t="shared" si="15"/>
        <v>17.402612642574073</v>
      </c>
      <c r="D40" s="15">
        <f t="shared" si="15"/>
        <v>16.493012456937759</v>
      </c>
      <c r="E40" s="15">
        <f t="shared" si="15"/>
        <v>16.298632873886717</v>
      </c>
      <c r="F40" s="15">
        <f t="shared" si="15"/>
        <v>16.206209029392127</v>
      </c>
      <c r="G40" s="15">
        <f t="shared" si="15"/>
        <v>16.116898391411127</v>
      </c>
    </row>
    <row r="41" spans="1:8">
      <c r="A41" s="3" t="s">
        <v>93</v>
      </c>
      <c r="B41" s="5">
        <f t="shared" ref="B41:G41" si="16">SIN($A15*3.14/180)*(B25*B27+6*B24*2+3.14*4^2)+COS($A15*3.14159/180)*(2*B24*B27*2+3.14159*4^2)</f>
        <v>871356.80393237364</v>
      </c>
      <c r="C41" s="5">
        <f t="shared" si="16"/>
        <v>64259.496436365458</v>
      </c>
      <c r="D41" s="5">
        <f t="shared" si="16"/>
        <v>15741.062919049393</v>
      </c>
      <c r="E41" s="5">
        <f t="shared" si="16"/>
        <v>6431.1129577066577</v>
      </c>
      <c r="F41" s="5">
        <f t="shared" si="16"/>
        <v>3595.5729374823404</v>
      </c>
      <c r="G41" s="5">
        <f t="shared" si="16"/>
        <v>2610.1456645479666</v>
      </c>
    </row>
    <row r="42" spans="1:8">
      <c r="A42" s="3" t="s">
        <v>94</v>
      </c>
      <c r="B42" s="25">
        <f t="shared" ref="B42:G42" si="17">B38*1000/B41</f>
        <v>0.48630873536572694</v>
      </c>
      <c r="C42" s="25">
        <f t="shared" si="17"/>
        <v>0.35442482446262036</v>
      </c>
      <c r="D42" s="25">
        <f t="shared" si="17"/>
        <v>0.3250342595661242</v>
      </c>
      <c r="E42" s="25">
        <f t="shared" si="17"/>
        <v>0.31094481075533753</v>
      </c>
      <c r="F42" s="25">
        <f t="shared" si="17"/>
        <v>0.30201623656386267</v>
      </c>
      <c r="G42" s="25">
        <f t="shared" si="17"/>
        <v>0.29929534098058574</v>
      </c>
    </row>
    <row r="43" spans="1:8" hidden="1">
      <c r="A43" s="3" t="s">
        <v>98</v>
      </c>
      <c r="B43" s="8">
        <f>(1/4)*3.14159^2*(B24+(B24-B27))*(B24-(B24-B27))^2</f>
        <v>68822363.767709315</v>
      </c>
      <c r="C43" s="8">
        <f t="shared" ref="C43:G43" si="18">(1/4)*3.14159^2*(C24+(C24-C27))*(C24-(C24-C27))^2</f>
        <v>1405483.8103605534</v>
      </c>
      <c r="D43" s="8">
        <f t="shared" si="18"/>
        <v>174450.35415869154</v>
      </c>
      <c r="E43" s="8">
        <f t="shared" si="18"/>
        <v>47165.561107625057</v>
      </c>
      <c r="F43" s="8">
        <f t="shared" si="18"/>
        <v>20934.042499042978</v>
      </c>
      <c r="G43" s="8">
        <f t="shared" si="18"/>
        <v>14196.806165258105</v>
      </c>
    </row>
    <row r="44" spans="1:8" hidden="1">
      <c r="A44" s="3" t="s">
        <v>96</v>
      </c>
      <c r="B44" s="8">
        <f t="shared" ref="B44:G44" si="19">B43/B31</f>
        <v>3779.727105759373</v>
      </c>
      <c r="C44" s="8">
        <f t="shared" si="19"/>
        <v>1073.9371107623936</v>
      </c>
      <c r="D44" s="8">
        <f t="shared" si="19"/>
        <v>562.35252345376193</v>
      </c>
      <c r="E44" s="8">
        <f t="shared" si="19"/>
        <v>384.42067032972005</v>
      </c>
      <c r="F44" s="8">
        <f t="shared" si="19"/>
        <v>312.41806858542321</v>
      </c>
      <c r="G44" s="8">
        <f t="shared" si="19"/>
        <v>292.89193929883442</v>
      </c>
    </row>
    <row r="45" spans="1:8" hidden="1">
      <c r="A45" s="3" t="s">
        <v>109</v>
      </c>
      <c r="B45" s="8">
        <f t="shared" ref="B45:G45" si="20">((1000*$A$16*B31)/(1366*$A$12))</f>
        <v>285635.15596180008</v>
      </c>
      <c r="C45" s="8">
        <f t="shared" si="20"/>
        <v>20530.026834754379</v>
      </c>
      <c r="D45" s="8">
        <f t="shared" si="20"/>
        <v>4866.3767312010377</v>
      </c>
      <c r="E45" s="8">
        <f t="shared" si="20"/>
        <v>1924.6900157582229</v>
      </c>
      <c r="F45" s="8">
        <f t="shared" si="20"/>
        <v>1051.1373739394239</v>
      </c>
      <c r="G45" s="8">
        <f t="shared" si="20"/>
        <v>760.37136425016217</v>
      </c>
    </row>
    <row r="46" spans="1:8" hidden="1">
      <c r="A46" s="3" t="s">
        <v>110</v>
      </c>
      <c r="B46" s="8">
        <f t="shared" ref="B46:G46" si="21">(B24-B27/2)*3.14*B27</f>
        <v>337776.95676063932</v>
      </c>
      <c r="C46" s="8">
        <f t="shared" si="21"/>
        <v>23993.214250368172</v>
      </c>
      <c r="D46" s="8">
        <f t="shared" si="21"/>
        <v>5583.8753164493182</v>
      </c>
      <c r="E46" s="8">
        <f t="shared" si="21"/>
        <v>2147.1200252460153</v>
      </c>
      <c r="F46" s="8">
        <f t="shared" si="21"/>
        <v>1116.7750632898635</v>
      </c>
      <c r="G46" s="8">
        <f t="shared" si="21"/>
        <v>727.06709849600497</v>
      </c>
      <c r="H46" s="8"/>
    </row>
    <row r="47" spans="1:8" hidden="1">
      <c r="A47" s="3" t="s">
        <v>111</v>
      </c>
      <c r="B47" s="8">
        <f t="shared" ref="B47:G47" si="22">3.14159*B24^2</f>
        <v>2514016.269086563</v>
      </c>
      <c r="C47" s="8">
        <f t="shared" si="22"/>
        <v>157126.01681791019</v>
      </c>
      <c r="D47" s="8">
        <f t="shared" si="22"/>
        <v>31037.237889957563</v>
      </c>
      <c r="E47" s="8">
        <f t="shared" si="22"/>
        <v>9820.3760511193868</v>
      </c>
      <c r="F47" s="8">
        <f t="shared" si="22"/>
        <v>4022.4260305384992</v>
      </c>
      <c r="G47" s="8">
        <f t="shared" si="22"/>
        <v>1939.8273681223477</v>
      </c>
    </row>
    <row r="48" spans="1:8">
      <c r="A48" s="3" t="s">
        <v>81</v>
      </c>
      <c r="B48">
        <f t="shared" ref="B48:G48" si="23">FLOOR(1+1000*B38/$A$17,1)</f>
        <v>7996</v>
      </c>
      <c r="C48">
        <f t="shared" si="23"/>
        <v>430</v>
      </c>
      <c r="D48">
        <f t="shared" si="23"/>
        <v>97</v>
      </c>
      <c r="E48">
        <f t="shared" si="23"/>
        <v>38</v>
      </c>
      <c r="F48">
        <f t="shared" si="23"/>
        <v>21</v>
      </c>
      <c r="G48">
        <f t="shared" si="23"/>
        <v>15</v>
      </c>
    </row>
    <row r="49" spans="1:7" hidden="1">
      <c r="A49" s="3" t="s">
        <v>122</v>
      </c>
      <c r="B49" s="33">
        <f t="shared" ref="B49:G49" si="24">B48*$A$18/1000</f>
        <v>719.64</v>
      </c>
      <c r="C49" s="33">
        <f t="shared" si="24"/>
        <v>38.700000000000003</v>
      </c>
      <c r="D49" s="33">
        <f t="shared" si="24"/>
        <v>8.73</v>
      </c>
      <c r="E49" s="33">
        <f t="shared" si="24"/>
        <v>3.42</v>
      </c>
      <c r="F49" s="33">
        <f t="shared" si="24"/>
        <v>1.89</v>
      </c>
      <c r="G49" s="33">
        <f t="shared" si="24"/>
        <v>1.35</v>
      </c>
    </row>
    <row r="50" spans="1:7" hidden="1">
      <c r="A50" s="3" t="s">
        <v>123</v>
      </c>
      <c r="B50" s="33">
        <f t="shared" ref="B50:G50" si="25">B38*$A$19/1000</f>
        <v>719.57279780265458</v>
      </c>
      <c r="C50" s="33">
        <f t="shared" si="25"/>
        <v>38.67480126427111</v>
      </c>
      <c r="D50" s="33">
        <f t="shared" si="25"/>
        <v>8.6882004860552708</v>
      </c>
      <c r="E50" s="33">
        <f t="shared" si="25"/>
        <v>3.3957529838155964</v>
      </c>
      <c r="F50" s="33">
        <f t="shared" si="25"/>
        <v>1.8440174833629437</v>
      </c>
      <c r="G50" s="33">
        <f t="shared" si="25"/>
        <v>1.3265735717205531</v>
      </c>
    </row>
    <row r="51" spans="1:7" hidden="1">
      <c r="A51" s="3" t="s">
        <v>124</v>
      </c>
      <c r="B51" s="33">
        <f t="shared" ref="B51:G51" si="26">B50*$A$20</f>
        <v>719.57279780265458</v>
      </c>
      <c r="C51" s="33">
        <f t="shared" si="26"/>
        <v>38.67480126427111</v>
      </c>
      <c r="D51" s="33">
        <f t="shared" si="26"/>
        <v>8.6882004860552708</v>
      </c>
      <c r="E51" s="33">
        <f t="shared" si="26"/>
        <v>3.3957529838155964</v>
      </c>
      <c r="F51" s="33">
        <f t="shared" si="26"/>
        <v>1.8440174833629437</v>
      </c>
      <c r="G51" s="33">
        <f t="shared" si="26"/>
        <v>1.3265735717205531</v>
      </c>
    </row>
    <row r="52" spans="1:7" hidden="1">
      <c r="A52" s="3" t="s">
        <v>125</v>
      </c>
      <c r="B52" s="33">
        <f t="shared" ref="B52:G52" si="27">B49+B50+B51</f>
        <v>2158.785595605309</v>
      </c>
      <c r="C52" s="33">
        <f t="shared" si="27"/>
        <v>116.04960252854222</v>
      </c>
      <c r="D52" s="33">
        <f t="shared" si="27"/>
        <v>26.106400972110542</v>
      </c>
      <c r="E52" s="33">
        <f t="shared" si="27"/>
        <v>10.211505967631192</v>
      </c>
      <c r="F52" s="33">
        <f t="shared" si="27"/>
        <v>5.5780349667258875</v>
      </c>
      <c r="G52" s="33">
        <f t="shared" si="27"/>
        <v>4.0031471434411063</v>
      </c>
    </row>
    <row r="53" spans="1:7" hidden="1">
      <c r="A53" s="3" t="s">
        <v>126</v>
      </c>
      <c r="B53" s="35">
        <f t="shared" ref="B53:G53" si="28">B52/B31</f>
        <v>0.11856059548859439</v>
      </c>
      <c r="C53" s="35">
        <f t="shared" si="28"/>
        <v>8.8674073600787384E-2</v>
      </c>
      <c r="D53" s="35">
        <f t="shared" si="28"/>
        <v>8.4155750418295525E-2</v>
      </c>
      <c r="E53" s="35">
        <f t="shared" si="28"/>
        <v>8.3228395400518157E-2</v>
      </c>
      <c r="F53" s="35">
        <f t="shared" si="28"/>
        <v>8.3246172395328125E-2</v>
      </c>
      <c r="G53" s="35">
        <f t="shared" si="28"/>
        <v>8.2588260802653454E-2</v>
      </c>
    </row>
  </sheetData>
  <pageMargins left="0.7" right="0.7" top="0.75" bottom="0.75" header="0.3" footer="0.3"/>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Kalpana One Cylinders</vt:lpstr>
      <vt:lpstr>Stanford Torus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 Covey</dc:creator>
  <cp:lastModifiedBy>Al Globus</cp:lastModifiedBy>
  <dcterms:created xsi:type="dcterms:W3CDTF">2015-08-16T13:58:55Z</dcterms:created>
  <dcterms:modified xsi:type="dcterms:W3CDTF">2015-11-02T18:18:49Z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-353575502</vt:i4>
  </property>
  <property fmtid="{D5CDD505-2E9C-101B-9397-08002B2CF9AE}" pid="3" name="_NewReviewCycle">
    <vt:lpwstr/>
  </property>
  <property fmtid="{D5CDD505-2E9C-101B-9397-08002B2CF9AE}" pid="4" name="_EmailSubject">
    <vt:lpwstr>my latest version of spread sheet</vt:lpwstr>
  </property>
  <property fmtid="{D5CDD505-2E9C-101B-9397-08002B2CF9AE}" pid="5" name="_AuthorEmail">
    <vt:lpwstr>StephenDCovey@galleries.com</vt:lpwstr>
  </property>
  <property fmtid="{D5CDD505-2E9C-101B-9397-08002B2CF9AE}" pid="6" name="_AuthorEmailDisplayName">
    <vt:lpwstr>Stephen D. Covey</vt:lpwstr>
  </property>
  <property fmtid="{D5CDD505-2E9C-101B-9397-08002B2CF9AE}" pid="7" name="_PreviousAdHocReviewCycleID">
    <vt:i4>-353575502</vt:i4>
  </property>
</Properties>
</file>